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803" firstSheet="1" activeTab="16"/>
  </bookViews>
  <sheets>
    <sheet name="งบทดลอง" sheetId="1" state="hidden" r:id="rId1"/>
    <sheet name="งบทดลอง 58" sheetId="2" r:id="rId2"/>
    <sheet name="งบทดลอง 58 มค.58" sheetId="3" state="hidden" r:id="rId3"/>
    <sheet name="งบทดลอง 58 แก้ไขใหม่" sheetId="4" state="hidden" r:id="rId4"/>
    <sheet name="Sheet1" sheetId="5" state="hidden" r:id="rId5"/>
    <sheet name="รายจ่ายรอจ่าย" sheetId="6" state="hidden" r:id="rId6"/>
    <sheet name="รายละเอียดประกอบงบทดลอง 58" sheetId="7" state="hidden" r:id="rId7"/>
    <sheet name="รับจ่ายประกอบงบทดลอง หมายเหตุ 1" sheetId="8" r:id="rId8"/>
    <sheet name="จ่ายจากรายรับ" sheetId="9" state="hidden" r:id="rId9"/>
    <sheet name="รายรับตามแผนงาน" sheetId="10" state="hidden" r:id="rId10"/>
    <sheet name="งบแสดงผลการดำเนินงาน-รายรับ" sheetId="11" state="hidden" r:id="rId11"/>
    <sheet name="รับจ่ายประกอบงบทดลอง หมายเหตุ1 " sheetId="12" state="hidden" r:id="rId12"/>
    <sheet name="รายละเอียดประกอบงบทดลอง (3)" sheetId="13" state="hidden" r:id="rId13"/>
    <sheet name="แสดงฐานะการเงิน (2)" sheetId="14" state="hidden" r:id="rId14"/>
    <sheet name="แสดงฐานะการเงิน" sheetId="15" state="hidden" r:id="rId15"/>
    <sheet name="รายรับจริง แก้งคร้อ" sheetId="16" state="hidden" r:id="rId16"/>
    <sheet name="รายงานรับ- จ่าย " sheetId="17" r:id="rId17"/>
    <sheet name="Sheet2" sheetId="18" r:id="rId18"/>
    <sheet name="Sheet3" sheetId="19" r:id="rId19"/>
  </sheets>
  <definedNames>
    <definedName name="_xlnm.Print_Area" localSheetId="0">'งบทดลอง'!$A$1:$D$265</definedName>
    <definedName name="_xlnm.Print_Area" localSheetId="1">'งบทดลอง 58'!$A$2:$D$43</definedName>
    <definedName name="_xlnm.Print_Area" localSheetId="3">'งบทดลอง 58 แก้ไขใหม่'!$A$172:$D$214</definedName>
    <definedName name="_xlnm.Print_Area" localSheetId="2">'งบทดลอง 58 มค.58'!$A$175:$D$217</definedName>
    <definedName name="_xlnm.Print_Area" localSheetId="10">'งบแสดงผลการดำเนินงาน-รายรับ'!$A$1:$N$74</definedName>
    <definedName name="_xlnm.Print_Area" localSheetId="8">'จ่ายจากรายรับ'!$A$1:$W$149</definedName>
    <definedName name="_xlnm.Print_Area" localSheetId="7">'รับจ่ายประกอบงบทดลอง หมายเหตุ 1'!$BO$1:$BS$155</definedName>
    <definedName name="_xlnm.Print_Area" localSheetId="11">'รับจ่ายประกอบงบทดลอง หมายเหตุ1 '!$A$1:$E$150</definedName>
    <definedName name="_xlnm.Print_Area" localSheetId="16">'รายงานรับ- จ่าย '!$BO$39:$BS$80</definedName>
    <definedName name="_xlnm.Print_Area" localSheetId="15">'รายรับจริง แก้งคร้อ'!$A$1:$P$288</definedName>
    <definedName name="_xlnm.Print_Area" localSheetId="12">'รายละเอียดประกอบงบทดลอง (3)'!$A$1:$R$105</definedName>
    <definedName name="_xlnm.Print_Area" localSheetId="6">'รายละเอียดประกอบงบทดลอง 58'!$A$253:$I$294</definedName>
    <definedName name="_xlnm.Print_Area" localSheetId="14">'แสดงฐานะการเงิน'!$A$1:$E$86</definedName>
    <definedName name="_xlnm.Print_Area" localSheetId="13">'แสดงฐานะการเงิน (2)'!$A$1:$E$86</definedName>
    <definedName name="_xlnm.Print_Titles" localSheetId="7">'รับจ่ายประกอบงบทดลอง หมายเหตุ 1'!$4:$5</definedName>
    <definedName name="_xlnm.Print_Titles" localSheetId="11">'รับจ่ายประกอบงบทดลอง หมายเหตุ1 '!$4:$5</definedName>
  </definedNames>
  <calcPr fullCalcOnLoad="1"/>
</workbook>
</file>

<file path=xl/comments17.xml><?xml version="1.0" encoding="utf-8"?>
<comments xmlns="http://schemas.openxmlformats.org/spreadsheetml/2006/main">
  <authors>
    <author>Corporate Edition</author>
  </authors>
  <commentList>
    <comment ref="Q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W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AC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AI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AO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AU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BA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BG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BM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BS4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Q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W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AC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AI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AO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AU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BA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BG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BM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BS49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Q6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ลูกหนี้คงเหลือ</t>
        </r>
      </text>
    </comment>
    <comment ref="W6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ลูกหนี้คงเหลือ</t>
        </r>
      </text>
    </comment>
    <comment ref="AC64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ลูกหนี้คงเหลือ</t>
        </r>
      </text>
    </comment>
    <comment ref="E78" authorId="0">
      <text>
        <r>
          <rPr>
            <b/>
            <sz val="8"/>
            <rFont val="Tahoma"/>
            <family val="2"/>
          </rPr>
          <t>Corporate Edition: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<sst xmlns="http://schemas.openxmlformats.org/spreadsheetml/2006/main" count="7988" uniqueCount="1043">
  <si>
    <t>สังคมสงเคราะห์</t>
  </si>
  <si>
    <t>การเกษตร</t>
  </si>
  <si>
    <t>งบกลาง</t>
  </si>
  <si>
    <t>งาน</t>
  </si>
  <si>
    <t>00111</t>
  </si>
  <si>
    <t>00113</t>
  </si>
  <si>
    <t>การศึกษา</t>
  </si>
  <si>
    <t>เกี่ยวกับสาธารณสุข</t>
  </si>
  <si>
    <t>เคหะและชุมชน</t>
  </si>
  <si>
    <t>นันทนาการ</t>
  </si>
  <si>
    <t>00121</t>
  </si>
  <si>
    <t>00123</t>
  </si>
  <si>
    <t>00211</t>
  </si>
  <si>
    <t>00212</t>
  </si>
  <si>
    <t>00221</t>
  </si>
  <si>
    <t>00231</t>
  </si>
  <si>
    <t>00232</t>
  </si>
  <si>
    <t>00241</t>
  </si>
  <si>
    <t>00242</t>
  </si>
  <si>
    <t>00244</t>
  </si>
  <si>
    <t>00245</t>
  </si>
  <si>
    <t>00252</t>
  </si>
  <si>
    <t>00262</t>
  </si>
  <si>
    <t>00263</t>
  </si>
  <si>
    <t>00321</t>
  </si>
  <si>
    <t>00411</t>
  </si>
  <si>
    <t>(ลงชื่อ)</t>
  </si>
  <si>
    <t>-</t>
  </si>
  <si>
    <t>00250</t>
  </si>
  <si>
    <t xml:space="preserve"> </t>
  </si>
  <si>
    <t>เทศบาลตำบลธาตุทอง</t>
  </si>
  <si>
    <t>งบแสดงผลการดำเนินงานจ่ายจากเงินรายรับ ตามแผนงานรวม</t>
  </si>
  <si>
    <t>รายการ</t>
  </si>
  <si>
    <t>ประมาณการ</t>
  </si>
  <si>
    <t>รวม</t>
  </si>
  <si>
    <t>บริหารงานทั่วไป</t>
  </si>
  <si>
    <t>งานรักษาความสงบภายใน</t>
  </si>
  <si>
    <t>สาธารณสุขฯ</t>
  </si>
  <si>
    <t>สร้างความ</t>
  </si>
  <si>
    <t>การศาสนา</t>
  </si>
  <si>
    <t>การพาณิชย์</t>
  </si>
  <si>
    <t>เข้มแข็ง</t>
  </si>
  <si>
    <t>วัฒนธรรมและ</t>
  </si>
  <si>
    <t>ของชุมชน</t>
  </si>
  <si>
    <r>
      <t>รายจ่าย</t>
    </r>
    <r>
      <rPr>
        <sz val="14"/>
        <rFont val="AngsanaUPC"/>
        <family val="1"/>
      </rPr>
      <t xml:space="preserve"> </t>
    </r>
  </si>
  <si>
    <t>เงินเดือน(หมายเหตุ1)</t>
  </si>
  <si>
    <t>ค่าจ้างประจำ</t>
  </si>
  <si>
    <t>ค่าจ้างชั่วคราว(หมายเหตุ2)</t>
  </si>
  <si>
    <t>ค่าตอบแทน(หมายเหตุ3)</t>
  </si>
  <si>
    <t>ค่าใช้สอย(หมายเหตุ4)</t>
  </si>
  <si>
    <t>ค่าวัสดุ(หมายเหตุ5)</t>
  </si>
  <si>
    <t>ค่าสาธารณูปโภค</t>
  </si>
  <si>
    <t>เงินอุดหนุน</t>
  </si>
  <si>
    <t>งบกลาง(หมายเหตุ6)</t>
  </si>
  <si>
    <t>ค่าครุภัณฑ์</t>
  </si>
  <si>
    <t>ค่าที่ดินและสิ่งก่อสร้าง</t>
  </si>
  <si>
    <t>รวมรายจ่าย</t>
  </si>
  <si>
    <t>อื่น ๆ</t>
  </si>
  <si>
    <r>
      <t>รายรับ</t>
    </r>
    <r>
      <rPr>
        <sz val="14"/>
        <rFont val="AngsanaUPC"/>
        <family val="1"/>
      </rPr>
      <t xml:space="preserve">     ภาษีอากร</t>
    </r>
  </si>
  <si>
    <t xml:space="preserve"> ค่าธรรมเนียมค่าปรับ</t>
  </si>
  <si>
    <t>และใบอนุญาต</t>
  </si>
  <si>
    <t>รายได้จากทรัพย์สิน</t>
  </si>
  <si>
    <t>รายได้จากสาธารณูปโภค</t>
  </si>
  <si>
    <t>รายได้เบ็ดเตล็ด</t>
  </si>
  <si>
    <t xml:space="preserve"> รายได้จากทุน</t>
  </si>
  <si>
    <t>ภาษีที่รัฐบาลจัดสรรให้</t>
  </si>
  <si>
    <t>เงินอุดหนุนทั่วไป</t>
  </si>
  <si>
    <t>เงินอุดหนุนระบุวัตถุประสงค์</t>
  </si>
  <si>
    <t>รวมรายรับ</t>
  </si>
  <si>
    <t>รายรับสูงกว่ารายจ่าย</t>
  </si>
  <si>
    <t>สำรองเงินรายรับ</t>
  </si>
  <si>
    <t>เทศบาลตำบลแก้งคร้อ</t>
  </si>
  <si>
    <t>ตั้งแต่วันที่  1  ตุลาคม  2552  ถึงวันที่  30   กันยายน    2553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</si>
  <si>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</si>
  <si>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</si>
  <si>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</si>
  <si>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</si>
  <si>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</si>
  <si>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รายจ่ายอื่น</t>
  </si>
  <si>
    <t>ตั้งแต่วันที่  1  ตุลาคม  2557  ถึงวันที่  30  กันยายน   2558</t>
  </si>
  <si>
    <t>เทศบาลธาตุทอง</t>
  </si>
  <si>
    <t xml:space="preserve">   งบทดลอง(ก่อนปิดบัญชี)</t>
  </si>
  <si>
    <t xml:space="preserve">ณ    วันที่  30   กันยายน   2557 </t>
  </si>
  <si>
    <t>รหัสบัญชี</t>
  </si>
  <si>
    <t>เดบิท</t>
  </si>
  <si>
    <t>เครดิต</t>
  </si>
  <si>
    <t>เงินสด</t>
  </si>
  <si>
    <t>010</t>
  </si>
  <si>
    <t xml:space="preserve">เงินฝากธนาคาร          ออมสิน  020097395345       </t>
  </si>
  <si>
    <t>022</t>
  </si>
  <si>
    <t xml:space="preserve">                                       ออมสิน  300019069446</t>
  </si>
  <si>
    <t xml:space="preserve">                                       กรุงไทย  2850064238</t>
  </si>
  <si>
    <t>ธนาคารกรุงไทยกระแส 2856003788</t>
  </si>
  <si>
    <t xml:space="preserve">                                       ธ.ก.ส. 2122701271</t>
  </si>
  <si>
    <t xml:space="preserve">                                       ธ.ก.ส. 212282575</t>
  </si>
  <si>
    <t xml:space="preserve">                                       ธ.ก.ส. 310000466111</t>
  </si>
  <si>
    <t>เงินฝาก  ก.ส.ท. หรือ กสอ.</t>
  </si>
  <si>
    <t>ลูกหนี้                          -  ภาษีบำรุงท้องที่</t>
  </si>
  <si>
    <t>082</t>
  </si>
  <si>
    <t>ลูกหนี้ เงินกองทุนเศรษฐกิจชุมชน</t>
  </si>
  <si>
    <t>ลูกหนี้เงินทดรองราชการ</t>
  </si>
  <si>
    <t>090</t>
  </si>
  <si>
    <t>000</t>
  </si>
  <si>
    <t>รายรับ  (หมายเหตุ  1 )</t>
  </si>
  <si>
    <t>เงินรับฝาก  (หมายเหตุ  2 )</t>
  </si>
  <si>
    <t>เงินอุดหนุนเฉพาะกิจค้างจ่าย - วัสดุสื่อการเรียนการสอน</t>
  </si>
  <si>
    <t>รายจ่ายค้างจ่าย  (หมายเหตุ  3 )</t>
  </si>
  <si>
    <t>เงินสะสม</t>
  </si>
  <si>
    <t>เงินทุนสำรองเงินสะสม</t>
  </si>
  <si>
    <t>รายจ่ายผลัดส่งใบสำคัญ</t>
  </si>
  <si>
    <t>เงินกองทุนเศรษฐกิจชุมชน</t>
  </si>
  <si>
    <t>เงินอุดหนุนเฉพาะกิจฝากจังหวัด</t>
  </si>
  <si>
    <t xml:space="preserve">   งบทดลอง</t>
  </si>
  <si>
    <t xml:space="preserve">ณ    วันที่  30  กันยายน   2553 </t>
  </si>
  <si>
    <t xml:space="preserve">เงินฝากธนาคาร          ออมสิน  0333-8           </t>
  </si>
  <si>
    <t xml:space="preserve">                                       กรุงไทย  02656</t>
  </si>
  <si>
    <t>ธนาคารกรุงไทยกระแส 307-6-06158-5</t>
  </si>
  <si>
    <t>ธนาคารกรุงไทยออมทรัพย์ 307-6-62138-4</t>
  </si>
  <si>
    <t xml:space="preserve">                                       ธ.ก.ส. 10411-8</t>
  </si>
  <si>
    <t xml:space="preserve">                                       ธ.ก.ส. 87731-3</t>
  </si>
  <si>
    <t xml:space="preserve">                                       ธ.ก.ส. 87732-1</t>
  </si>
  <si>
    <t xml:space="preserve">                                       ธ.ก.ส  (ประจำ)  10397-6</t>
  </si>
  <si>
    <t>ลูกหนี้                          -  ภาษีโรงเรือนและที่ดิน</t>
  </si>
  <si>
    <t xml:space="preserve">                                      -  ภาษีป้าย</t>
  </si>
  <si>
    <t>081</t>
  </si>
  <si>
    <t xml:space="preserve">                                      -  ภาษีบำรุงท้องที่</t>
  </si>
  <si>
    <t>เงินนอกงบ-โครงการเรียนฟรี 15 ปี</t>
  </si>
  <si>
    <t>ลูกหนี้-เงินยืมสะสม</t>
  </si>
  <si>
    <t>เงินรายจ่ายค้างจ่าย</t>
  </si>
  <si>
    <t>เงินอุดหนุนเฉพาะกิจฝากคลังจังหวัด</t>
  </si>
  <si>
    <t>เงินนอกงบ-เงินเดือนครูและบุคลากรสนับสนุนการสอน</t>
  </si>
  <si>
    <t>เงินรายจ่ายรอจ่าย</t>
  </si>
  <si>
    <t>0</t>
  </si>
  <si>
    <t>เงินนอกงบ-เบี้ยยังชีพคนชรา</t>
  </si>
  <si>
    <t xml:space="preserve">   งบทดลอง   ( หลังปิดบัญชี )</t>
  </si>
  <si>
    <t xml:space="preserve">ณ    วันที่  30   กันยายน   2557  </t>
  </si>
  <si>
    <t xml:space="preserve">ณ    วันที่  30   กันยายน   2553  </t>
  </si>
  <si>
    <t xml:space="preserve">                                       กรุงไทย  62138-4</t>
  </si>
  <si>
    <t>ธนาคารกรุงไทยกระแส 3707-6-06158-5</t>
  </si>
  <si>
    <t>เงินรับฝาก-ค่าขายแบบโครงการไทยเข้มแข็ง</t>
  </si>
  <si>
    <t>รายจ่ายรอจ่าย</t>
  </si>
  <si>
    <t xml:space="preserve">   งบทดลอง   </t>
  </si>
  <si>
    <t xml:space="preserve">ณ    วันที่  31   ตุลาคม   2553  </t>
  </si>
  <si>
    <t xml:space="preserve">ณ    วันที่   30   มิถุนายน   2554  </t>
  </si>
  <si>
    <t>เงินนอกงบ-เงินค่าจ้าง ผดด.</t>
  </si>
  <si>
    <t>เงินนอกงบ-ค่ารักษาพยาบาลครู</t>
  </si>
  <si>
    <t>เงินนอกงบ-โครงการไทยเข้มแข็ง</t>
  </si>
  <si>
    <t>เงินอกงบ-เงินสนับสนุนศูนย์เด็ก</t>
  </si>
  <si>
    <t>เงินนอกงบ-เบี้ยยังชีพเอดส์</t>
  </si>
  <si>
    <t>เงินนอกงบ-เบี้ยยังชีพคนพิการ</t>
  </si>
  <si>
    <t>เงินนอกงบ-เงินกู้  กสท.</t>
  </si>
  <si>
    <t>งบแสดงฐานะการเงิน</t>
  </si>
  <si>
    <t>ณ วันที่  31   พฤษภาคม   2557</t>
  </si>
  <si>
    <t>หมายเหตุ</t>
  </si>
  <si>
    <t>(บาท)</t>
  </si>
  <si>
    <t>สินทรัพย์</t>
  </si>
  <si>
    <t xml:space="preserve">ทรัพย์สินตามงบทรัพย์สิน </t>
  </si>
  <si>
    <t>เงินสด เงินฝากธนาคารและเงินฝากคลัง</t>
  </si>
  <si>
    <t>เงินฝาก - เงินกองทุนส่งเสริมกิจการเทศบาล   ( ก.ส.ท. )</t>
  </si>
  <si>
    <t>เงินนอกงบ-เบี้ยยังชีพคนขรา</t>
  </si>
  <si>
    <t>เงินนอกงบ-เงินเดือนครู</t>
  </si>
  <si>
    <t>เงินนอกงบ-ค่าจ้างครู</t>
  </si>
  <si>
    <t>เงินนอกงบ-เงินประกันสังคม</t>
  </si>
  <si>
    <t>เงินนอกงบ-ค่าเล่าเรียนบุตร</t>
  </si>
  <si>
    <t>ลูกหนี้-โครงการเศรษฐกิจชุมชน</t>
  </si>
  <si>
    <t>ลูกหนี้ - ภาษีบำรุงท้องที่</t>
  </si>
  <si>
    <t>ลูกหนี้ - เงินยืมทดลองราชการ</t>
  </si>
  <si>
    <t xml:space="preserve">ทุนทรัพย์สิน  (หมายเหตุ1) </t>
  </si>
  <si>
    <t xml:space="preserve">เงินรับฝากต่างๆ  (หมายเหตุ4)  </t>
  </si>
  <si>
    <t>รายจ่ายค้างจ่าย</t>
  </si>
  <si>
    <t>เงินอุดหนุนโครงการเศรษฐกิจชุมชน</t>
  </si>
  <si>
    <t>เงินทุนเงินสำรองเงินสะสม</t>
  </si>
  <si>
    <t>เงินสะสม  (หมายเหตุ7)</t>
  </si>
  <si>
    <t>ณ วันที่  31  พฤษภาคม   2554</t>
  </si>
  <si>
    <t>เงินนอกงบ-เงินเดือนครูและบุคลากรทางการศึกษา</t>
  </si>
  <si>
    <t>ลูกหนี้ - ภาษีโรงเรือน</t>
  </si>
  <si>
    <t>ลูกหนี้ - ภาษีป้าย</t>
  </si>
  <si>
    <t>ลูกหนี้-เงินยืมทดลองราชการ</t>
  </si>
  <si>
    <t>เงินนอกงบ-สนับสนุนศูนย์เด็ก</t>
  </si>
  <si>
    <t>เงินนอกงบ-ค่าเบี้ยยังชีพคนชรา</t>
  </si>
  <si>
    <t>เงินนอกงบ-ค่าเบี้ยยังชีพคนพิการ</t>
  </si>
  <si>
    <t>เงินขาดส่ง</t>
  </si>
  <si>
    <t>หนี้สินและเงินสะสม</t>
  </si>
  <si>
    <t>รายจ่ายค้างจ่าย(หมายเหตุ 5)</t>
  </si>
  <si>
    <t>รับจริงสูงกว่าจ่ายจริง</t>
  </si>
  <si>
    <t xml:space="preserve"> เทศบาลตำบลธาตุทอง</t>
  </si>
  <si>
    <t xml:space="preserve">            รายงานรายจ่ายในการดำเนินงานที่จ่ายจากเงินรายรับตามแผนงาน   งานบริหารทั่วไป</t>
  </si>
  <si>
    <t xml:space="preserve">                        รายงานรายจ่ายในการดำเนินงานที่จ่ายจากเงินรายรับตามแผนงาน   การรักษาความสงบภายใน</t>
  </si>
  <si>
    <t>รายงานรายจ่ายในการดำเนินงานที่จ่ายจากเงินรายรับตามแผนงาน   การศึกษา</t>
  </si>
  <si>
    <t>รายงานรายจ่ายในการดำเนินงานที่จ่ายจากเงินรายรับตามแผนงาน   สาธารณสุข</t>
  </si>
  <si>
    <t xml:space="preserve"> รายงานรายจ่ายในการดำเนินงานที่จ่ายจากเงินรายรับตามแผนงาน   สังคมสงเคราะห์</t>
  </si>
  <si>
    <t>รายงานรายจ่ายในการดำเนินงานที่จ่ายจากเงินรายรับตามแผนงาน   เคหะและชุมชน</t>
  </si>
  <si>
    <t>รายงานรายจ่ายในการดำเนินงานที่จ่ายจากเงินรายรับตามแผนงาน   สร้างความเข้มแข็งของชุมชน</t>
  </si>
  <si>
    <t xml:space="preserve"> รายงานรายจ่ายในการดำเนินงานที่จ่ายจากเงินรายรับตามแผนงาน   การศาสนาวัฒนธรรมและนันทนาการ</t>
  </si>
  <si>
    <t>รายงานรายจ่ายในการดำเนินงานที่จ่ายจากเงินรายรับตามแผนงาน   การพาณิชย์</t>
  </si>
  <si>
    <t>รายงานรายจ่ายในการดำเนินงานที่จ่ายจากเงินรายรับตามแผนงาน   งบกลาง</t>
  </si>
  <si>
    <t>รายงานรายจ่ายในการดำเนินงานที่จ่ายจากเงินสะสม</t>
  </si>
  <si>
    <t>ตั้งแต่วันที่  1  ตุลาคม  2556  ถึงวันที่  30  กันยายน  2557</t>
  </si>
  <si>
    <t>ตั้งแต่วันที่  1  ตุลาคม  2556  ถึงวันที่  30 กันยายน 2557</t>
  </si>
  <si>
    <t>งานบริหารทั่วไป</t>
  </si>
  <si>
    <t>งานบริหารงานคลัง</t>
  </si>
  <si>
    <t>งานบริหารทั่วไปเกี่ยวกับ</t>
  </si>
  <si>
    <t>งานป้องกันภัยฝ่าย</t>
  </si>
  <si>
    <t>งานระดับก่อนวัยเรียน</t>
  </si>
  <si>
    <t>งานสวัสดิการสังคมและ</t>
  </si>
  <si>
    <t>งานไฟฟ้าและถนน</t>
  </si>
  <si>
    <t>งานกำจัดขยะมูลฝอย</t>
  </si>
  <si>
    <t>งานบำบัดน้ำสีย</t>
  </si>
  <si>
    <t>งานส่งเสริมและสนับสนุน</t>
  </si>
  <si>
    <t>งานกีฬาและ</t>
  </si>
  <si>
    <t>งานศาสนา</t>
  </si>
  <si>
    <t>งานกิจการประปา</t>
  </si>
  <si>
    <t>งานโรงฆ่าสัตว์</t>
  </si>
  <si>
    <t>หมวด / ประเภท</t>
  </si>
  <si>
    <t xml:space="preserve">                   แผนงานการพาณิชย์</t>
  </si>
  <si>
    <t xml:space="preserve">          แผนงานบริหารทั่วไป</t>
  </si>
  <si>
    <t>แผนงานบริหารเคหะชุมชน</t>
  </si>
  <si>
    <t xml:space="preserve">                    แผนงานการศึกษา</t>
  </si>
  <si>
    <t>รายจ่าย</t>
  </si>
  <si>
    <t>การรักาษาความสงบภายใน</t>
  </si>
  <si>
    <t>พลเรือนและระงับอัคคีภัย</t>
  </si>
  <si>
    <t>เกี่ยวกับการศึกษา</t>
  </si>
  <si>
    <t>และประถมศึกษา</t>
  </si>
  <si>
    <t>และสิ่งปฏิกูล</t>
  </si>
  <si>
    <t>ความเข้มแข็งของชุมชน</t>
  </si>
  <si>
    <t>เกี่ยวกับศาสนา ฯ</t>
  </si>
  <si>
    <t>วัฒนธรรมท้องถิ่น</t>
  </si>
  <si>
    <t>งานกิจการสถานธนานุบาล</t>
  </si>
  <si>
    <t>งานป้องกันภัยฯ</t>
  </si>
  <si>
    <t>งานไฟฟ้าถนน</t>
  </si>
  <si>
    <t>งานบริหารทั่วไปเกี่ยวกับการศึกษา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</si>
  <si>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</si>
  <si>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</si>
  <si>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</si>
  <si>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</si>
  <si>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 </t>
  </si>
  <si>
    <t xml:space="preserve">     ค่าวัสดุ  </t>
  </si>
  <si>
    <t xml:space="preserve">     ค่าสาธารณูปโภค</t>
  </si>
  <si>
    <t xml:space="preserve">     เงินอุดหนุนฯ</t>
  </si>
  <si>
    <t xml:space="preserve">     รายจ่ายอื่น</t>
  </si>
  <si>
    <t xml:space="preserve">     งบกลาง </t>
  </si>
  <si>
    <t xml:space="preserve">     ค่าครุภัณฑ์  </t>
  </si>
  <si>
    <t xml:space="preserve">     ค่าที่ดินและสิ่งก่อสร้าง  </t>
  </si>
  <si>
    <t xml:space="preserve">     ค่าครุภัณฑ์  (หมายเหตุ1) </t>
  </si>
  <si>
    <t xml:space="preserve">     ค่าครุภัณฑ์ </t>
  </si>
  <si>
    <t xml:space="preserve">     ค่าที่ดินและสิ่งก่อสร้าง  (หมายเหตุ 2)</t>
  </si>
  <si>
    <t>รายรับ</t>
  </si>
  <si>
    <t>......................................................</t>
  </si>
  <si>
    <t>………………………………..</t>
  </si>
  <si>
    <r>
      <t xml:space="preserve">   </t>
    </r>
    <r>
      <rPr>
        <u val="singleAccounting"/>
        <sz val="14"/>
        <rFont val="TH SarabunPSK"/>
        <family val="2"/>
      </rPr>
      <t>หมายเหตุ</t>
    </r>
  </si>
  <si>
    <t>.....................................................</t>
  </si>
  <si>
    <t>1. ยืมเงินสะสมไปจ่าย                   บาท</t>
  </si>
  <si>
    <t xml:space="preserve">  2. จ่ายขาดเงินสะสม                     บาท    </t>
  </si>
  <si>
    <t>รายงานรายจ่ายในการดำเนินงานที่จ่ายจากเงินรายรับตามแผนงาน   การรักษาความสงบภายใน</t>
  </si>
  <si>
    <t xml:space="preserve">      ตั้งแต่วันที่  1  ตุลาคม  2556  ถึงวันที่  31  กันยายน  2557</t>
  </si>
  <si>
    <t>ตั้งแต่วันที่  1  ตุลาคม  2556  ถึงวันที่  30   กันยายน  2557</t>
  </si>
  <si>
    <t>ตั้งแต่วันที่  31  ตุลาคม  2556  ถึงวันที่  30  พฤษภาคม  2557</t>
  </si>
  <si>
    <t>ตั้งแต่วันที่  1  ตุลาคม  2556  ถึงวันที่  30 กันยายน  2557</t>
  </si>
  <si>
    <t xml:space="preserve">      ตั้งแต่วันที่  1  ตุลาคม  2557  ถึงวันที่  30  กันยายน  2557</t>
  </si>
  <si>
    <t>ตั้งแต่วันที่  1  ตุลาคม  2551  ถึงวันที่  30  กันยายน  2552</t>
  </si>
  <si>
    <t>ตั้งแต่วันที่  31  ตุลาคม  2556  ถึงวันที่  31  พฤษภาคม  2557</t>
  </si>
  <si>
    <t>ตั้งแต่วันที่  31  ตุลาคม  2553  ถึงวันที่  31  มกราคม  2554</t>
  </si>
  <si>
    <t>งานตลาดสด</t>
  </si>
  <si>
    <t>2. จ่ายขาดเงินสะสม                   บาท</t>
  </si>
  <si>
    <t>ตั้งแต่วันที่  1  ตุลาคม  2557  ถึงวันที่  30  กันยายน  2558</t>
  </si>
  <si>
    <t xml:space="preserve">            ตั้งแต่วันที่  1  ตุลาคม  2557  ถึงวันที่  30  กันยายน  2558</t>
  </si>
  <si>
    <t>ตั้งแต่วันที่  1  ตุลาคม  2557 ถึงวันที่  30  กันยายน   2558</t>
  </si>
  <si>
    <t>เคหและชุมชน</t>
  </si>
  <si>
    <t>เทศบาลตำบลธาคุทอง</t>
  </si>
  <si>
    <t>รายงานรายจ่ายในการดำเนินงานที่จ่ายจากเงินรายรับตามแผนงาน   การเกษตร</t>
  </si>
  <si>
    <t>ตั้งแต่วันที่  1 ตุลาคม  2557  ถึงวันที่  31  พฤษภาคม  2558</t>
  </si>
  <si>
    <t>หมายเหตุ  1</t>
  </si>
  <si>
    <t>อำเภอแก้งคร้อ       จังหวัดชัยภูมิ</t>
  </si>
  <si>
    <t>รายรับจริงประกอบงบทดลองและรายงานรับ - จ่ายเงินสด</t>
  </si>
  <si>
    <t>วันที่    31  พฤษภาคม  2554</t>
  </si>
  <si>
    <t>วันที่    30    มิถุนายน  2554</t>
  </si>
  <si>
    <t>รับจริงเดือนนี้</t>
  </si>
  <si>
    <t>รวมแต่ต้นปี</t>
  </si>
  <si>
    <t>รายได้จัดเก็บเอง</t>
  </si>
  <si>
    <t>หมวดภาษีอากร</t>
  </si>
  <si>
    <t>0100</t>
  </si>
  <si>
    <t>(1)</t>
  </si>
  <si>
    <t>ภาษีโรงเรือนและที่ดิน</t>
  </si>
  <si>
    <t>0101</t>
  </si>
  <si>
    <t>(2)</t>
  </si>
  <si>
    <t>ภาษีบำรุงท้องที่</t>
  </si>
  <si>
    <t>0102</t>
  </si>
  <si>
    <t>(3)</t>
  </si>
  <si>
    <t>ภาษีป้าย</t>
  </si>
  <si>
    <t>0103</t>
  </si>
  <si>
    <t>(4)</t>
  </si>
  <si>
    <t>อากรการฆ่าสัตว์</t>
  </si>
  <si>
    <t>0104</t>
  </si>
  <si>
    <t>(5)</t>
  </si>
  <si>
    <t>ภาษีบำรุง  อบจ. จากสถานค้าปลีกยาสูบ</t>
  </si>
  <si>
    <t>0105</t>
  </si>
  <si>
    <t>(6)</t>
  </si>
  <si>
    <t>ภาษีบำรุง  อบจ. จากสถานค้าปลีกน้ำมัน</t>
  </si>
  <si>
    <t>0106</t>
  </si>
  <si>
    <t>หมวดค่าธรรมเนียม  ค่าปรับและใบอนุญาต</t>
  </si>
  <si>
    <t>0120</t>
  </si>
  <si>
    <t>ค่าธรรมเนียมเกี่ยวกับควบคุมการฆ่าสัตว์และจำหน่าย</t>
  </si>
  <si>
    <t>เนื้อสัตว์</t>
  </si>
  <si>
    <t>0121</t>
  </si>
  <si>
    <t>ค่าธรรมเนียมเกี่ยวกับใบอนุญาตการขายสุรา</t>
  </si>
  <si>
    <t>0122</t>
  </si>
  <si>
    <t>ค่าธรรมเนียมเกี่ยวกับใบอนุญาตการพนัน</t>
  </si>
  <si>
    <t>0123</t>
  </si>
  <si>
    <t>ค่าธรรมเนียมเกี่ยวกับการจจัดระเบียบจอดยานยนต์</t>
  </si>
  <si>
    <t>0124</t>
  </si>
  <si>
    <t>ค่าธรรมเนียมเกี่ยวกับการควบคุมอาคาร</t>
  </si>
  <si>
    <t>0125</t>
  </si>
  <si>
    <t>ค่าธรรมเนียมเก็บขยะมูลฝอย</t>
  </si>
  <si>
    <t>0126</t>
  </si>
  <si>
    <t>(7)</t>
  </si>
  <si>
    <t>ค่าธรรมเนียมเก็บและขนอุจจาระหรือสิ่งปฎิกูล</t>
  </si>
  <si>
    <t>0127</t>
  </si>
  <si>
    <t>(8)</t>
  </si>
  <si>
    <t>ค่าธรรมเนียมในการออกหนังสือรับรองการแจ้งการจัด</t>
  </si>
  <si>
    <t>ตั้งสถานที่จำหน่ายอาหารหรือถานที่สะสมอาหารใน</t>
  </si>
  <si>
    <t>อาคารหรือพื้นที่ใด  ซึ่งพื้นที่ไม่เกิน  200  ตารางเมตร</t>
  </si>
  <si>
    <t>0128</t>
  </si>
  <si>
    <t>(9)</t>
  </si>
  <si>
    <t>ค่าธรรมเนียมเกี่ยวกับสุสานและฌาปนสถาน</t>
  </si>
  <si>
    <t>0129</t>
  </si>
  <si>
    <t>(10)</t>
  </si>
  <si>
    <t>ค่าธรรมเนียมปิดเกี่ยวกับการรักษาความสะอาดและ</t>
  </si>
  <si>
    <t>ความเป็นระเบียบเรียบร้อยของบ้านเมือง</t>
  </si>
  <si>
    <t>0130</t>
  </si>
  <si>
    <t>(11)</t>
  </si>
  <si>
    <t>ค่าธรรมเนียมเกี่ยวกับทะเบียนราษฎร</t>
  </si>
  <si>
    <t>0131</t>
  </si>
  <si>
    <t>(12)</t>
  </si>
  <si>
    <t>ค่าธรรมเนียมเกี่ยวกับบัตรประจำตัวประชาชน</t>
  </si>
  <si>
    <t>0132</t>
  </si>
  <si>
    <t>(13)</t>
  </si>
  <si>
    <t>ค่าธรรมเนียมเกี่ยวกับโรคพิษสุนัขบ้า</t>
  </si>
  <si>
    <t>0133</t>
  </si>
  <si>
    <t>(14)</t>
  </si>
  <si>
    <t>ค่าธรรมเนียมเกี่ยวกับการส่งเสริมและรักษาคุณภาพสิ่ง</t>
  </si>
  <si>
    <t>แวดล้อมแห่งชาติ</t>
  </si>
  <si>
    <t>0134</t>
  </si>
  <si>
    <t>(15)</t>
  </si>
  <si>
    <t>ค่าธรรมเนียมบำรุง  อบจ. จากผู้เข้าพักในโรงแรม</t>
  </si>
  <si>
    <t>0135</t>
  </si>
  <si>
    <t>(16)</t>
  </si>
  <si>
    <t>ค่าปรับผู้กระทำความผิดกฎหมายการจัดระเบียบจอด</t>
  </si>
  <si>
    <t>ยานยนต์</t>
  </si>
  <si>
    <t>0136</t>
  </si>
  <si>
    <t>รับจริง</t>
  </si>
  <si>
    <t>(17)</t>
  </si>
  <si>
    <t>ค่าปรับผู้กระทำผิดกฎหมายจราจรทางบก</t>
  </si>
  <si>
    <t>0137</t>
  </si>
  <si>
    <t>(18)</t>
  </si>
  <si>
    <t>ค่าปรับผู้กระทำผิดกฎหมายการป้องกันและระงับอัคคีภัย</t>
  </si>
  <si>
    <t>0138</t>
  </si>
  <si>
    <t>(19)</t>
  </si>
  <si>
    <t>ค่าปรับผู้กระทำผิดกฎหมายและข้อบังคับท้องถิ่น</t>
  </si>
  <si>
    <t>0139</t>
  </si>
  <si>
    <t>(20)</t>
  </si>
  <si>
    <t>ค่าปรับการผิดสัญญา</t>
  </si>
  <si>
    <t>0140</t>
  </si>
  <si>
    <t>(21)</t>
  </si>
  <si>
    <t>ค่าปรับอื่นๆ</t>
  </si>
  <si>
    <t>0141</t>
  </si>
  <si>
    <t>(22)</t>
  </si>
  <si>
    <t>ค่าใบอนุญาตรับทำการเก็บ  ขน  หรือกำจัด  สิ่งปฎิกูล</t>
  </si>
  <si>
    <t>หรือมูลฝอย</t>
  </si>
  <si>
    <t>0142</t>
  </si>
  <si>
    <t>(23)</t>
  </si>
  <si>
    <t>ค่าใบอนุญาตจัดตั้งตลาด</t>
  </si>
  <si>
    <t>0143</t>
  </si>
  <si>
    <t>(24)</t>
  </si>
  <si>
    <t>ค่าใบอนุญาตจัดตั้งสถานที่จำหน่ายอาหารหรือสถานที่</t>
  </si>
  <si>
    <t xml:space="preserve">สะสมอาหารในอาคาร  หรือพื้นที่ใด  ซึ่งมีพื้นที่เกิน </t>
  </si>
  <si>
    <t>200  ตารางเมตร</t>
  </si>
  <si>
    <t>0144</t>
  </si>
  <si>
    <t>(25)</t>
  </si>
  <si>
    <t>ค่าใบอนุญาตจำหน่ายสินค้าในที่หรือทางสาธารณะ</t>
  </si>
  <si>
    <t>0145</t>
  </si>
  <si>
    <t>(26)</t>
  </si>
  <si>
    <t>ค่าใบอนุญาตเกี่ยวกับการควบคุมอาคาร</t>
  </si>
  <si>
    <t>0146</t>
  </si>
  <si>
    <t>(27)</t>
  </si>
  <si>
    <t>ค่าใบอนุญาตเกี่ยวกับการโฆษณาโดยใช้เครื่องขยายเสียง</t>
  </si>
  <si>
    <t>0147</t>
  </si>
  <si>
    <t>(28)</t>
  </si>
  <si>
    <t xml:space="preserve">ค่าใบอนุญาตอื่นๆ </t>
  </si>
  <si>
    <t>0148</t>
  </si>
  <si>
    <t>(29)</t>
  </si>
  <si>
    <t>ค่าธรรมเนียมโอนสิทธิการเช่า</t>
  </si>
  <si>
    <t>(30)</t>
  </si>
  <si>
    <t>ค่าใบอนุญาตประกอบการค่าน่ารังเกียจ</t>
  </si>
  <si>
    <t>ค่าใบอนุญาตประกอบการค้าน่ารังเกียจ</t>
  </si>
  <si>
    <t>(31)</t>
  </si>
  <si>
    <t>ค่าใบอนุญาตใช้สถานที่แต่งผม</t>
  </si>
  <si>
    <t>ค่าธรรมเนียมการจดทะเบียนพาณิชย์</t>
  </si>
  <si>
    <t>(32)</t>
  </si>
  <si>
    <t>ค่าใบอนุญาตเป็นผู้รับจ้างแต่งผม</t>
  </si>
  <si>
    <t>(33)</t>
  </si>
  <si>
    <t>ค่าใบอนุญาตสะสมอาหารและน้ำแข็ง</t>
  </si>
  <si>
    <t>หมวดรายได้จากทรัพย์สิน</t>
  </si>
  <si>
    <t>0200</t>
  </si>
  <si>
    <t>ค่าเช่าที่ดิน</t>
  </si>
  <si>
    <t>0201</t>
  </si>
  <si>
    <t>ค่าเช่าหรือค่าบริการสถานที่</t>
  </si>
  <si>
    <t>-   ค่าเช่าอาคารพาณิชย์</t>
  </si>
  <si>
    <t>0202</t>
  </si>
  <si>
    <t>-   ค่าเช่าตลาดสดเทศบาล  1</t>
  </si>
  <si>
    <t>-   ค่าเช่าตลาดสดเทศบาล  2</t>
  </si>
  <si>
    <t>-   ค่าเช่าแผงลอย</t>
  </si>
  <si>
    <t>-   ค่าเช่าครุภัณฑ์ของเทศบาล</t>
  </si>
  <si>
    <t xml:space="preserve"> -  ค่าเช่าที่วางขายของในตลาดสด</t>
  </si>
  <si>
    <t>-   ค่าเช่าที่จอดรถยนต์โดยสาร</t>
  </si>
  <si>
    <t>ดอกเบี้ย</t>
  </si>
  <si>
    <t>-   ดอกเบี้ยเงินฝากธนาคาร</t>
  </si>
  <si>
    <t>0203</t>
  </si>
  <si>
    <t>-   ดอกเบี้ยเงินฝาก  ก.ส.ท.</t>
  </si>
  <si>
    <t>เงินปันผลหรือเงินรางวัลต่างๆ</t>
  </si>
  <si>
    <t>0204</t>
  </si>
  <si>
    <t>ค่าตอบแทนตามที่กฎหมายกำหนด</t>
  </si>
  <si>
    <t>0205</t>
  </si>
  <si>
    <t>ค่าสูบสิ่งปฎิกูล</t>
  </si>
  <si>
    <t>หมวดรายได้จากสาธารณูปโภคและการพาณิชย์</t>
  </si>
  <si>
    <t>0250</t>
  </si>
  <si>
    <t>เงินช่วยเหลือท้องถิ่นจากกิจการเฉพาะการ</t>
  </si>
  <si>
    <t>0251</t>
  </si>
  <si>
    <t>เงินสะสมจากการโอนกิจการสาธารณูปโภคหรือพาณิชย์</t>
  </si>
  <si>
    <t>0252</t>
  </si>
  <si>
    <t>รายได้จากสาธารณูปโภคและการพาณิชย์</t>
  </si>
  <si>
    <t>0253</t>
  </si>
  <si>
    <t>หมวดรายได้เบ็ดเตล็ด</t>
  </si>
  <si>
    <t>0300</t>
  </si>
  <si>
    <t>เงินที่มีผู้อุทิศให้</t>
  </si>
  <si>
    <t>0301</t>
  </si>
  <si>
    <t>ค่าขายแบบแปลน</t>
  </si>
  <si>
    <t>0302</t>
  </si>
  <si>
    <t>ค่าเขียนแบบแปลน</t>
  </si>
  <si>
    <t>0303</t>
  </si>
  <si>
    <t>ค่าจำหน่ายแบบพิมพ์และคำร้อง</t>
  </si>
  <si>
    <t>0304</t>
  </si>
  <si>
    <t>ค่ารับรองสำเนาและถ่ายเอกสาร</t>
  </si>
  <si>
    <t>0305</t>
  </si>
  <si>
    <t>ค่าต่อสัญญาเช่าแผงลอย</t>
  </si>
  <si>
    <t>0306</t>
  </si>
  <si>
    <t>รายได้เบ็ดเตล็ดอื่นๆ</t>
  </si>
  <si>
    <t>0307</t>
  </si>
  <si>
    <t>หมวดรายได้จากทุน</t>
  </si>
  <si>
    <t>0350</t>
  </si>
  <si>
    <t>ค่าขายทอดตลาดทรัพย์สิน</t>
  </si>
  <si>
    <t>0351</t>
  </si>
  <si>
    <t>รายได้ที่รัฐบาลเก็บแล้วจัดสรรให้องค์กรกครองส่วนฯ</t>
  </si>
  <si>
    <t>หมวดภาษีจัดสรร</t>
  </si>
  <si>
    <t>1000</t>
  </si>
  <si>
    <t>ภาษีและค่าธรรมเนียมรถยนต์หรือล้อเลื่อน</t>
  </si>
  <si>
    <t>1001</t>
  </si>
  <si>
    <t>ภาษีมูลค่าเพิ่ม</t>
  </si>
  <si>
    <t>1002</t>
  </si>
  <si>
    <t>ภาษ๊บำรุง  อบจ.จากภาษีมูลค่าเพิ่มที่จัดเก็บตามประมวล</t>
  </si>
  <si>
    <t>ภาษีบำรุง  อบจ.จากภาษีมูลค่าเพิ่มที่จัดเก็บตามประมวล</t>
  </si>
  <si>
    <t>รัษฎากร  5%</t>
  </si>
  <si>
    <t>1003</t>
  </si>
  <si>
    <t>ภาษีธุรกิจเฉพาะ</t>
  </si>
  <si>
    <t>1004</t>
  </si>
  <si>
    <t>ภาษีสุรา</t>
  </si>
  <si>
    <t>1005</t>
  </si>
  <si>
    <t>ภาษีสรรพสามิต</t>
  </si>
  <si>
    <t>1006</t>
  </si>
  <si>
    <t>ภาษีการพนัน</t>
  </si>
  <si>
    <t>1007</t>
  </si>
  <si>
    <t>ภาษีแสตมป์ยาสูบ</t>
  </si>
  <si>
    <t>1008</t>
  </si>
  <si>
    <t>ค่าภาคหลวงและค่าธรรมเนียมป่าไม้</t>
  </si>
  <si>
    <t>1009</t>
  </si>
  <si>
    <t>ค่าภาคหลวงแร่</t>
  </si>
  <si>
    <t>1010</t>
  </si>
  <si>
    <t>ค่าภาคหลวงปิโตรเลียม</t>
  </si>
  <si>
    <t>1011</t>
  </si>
  <si>
    <t>เงินที่เก็บตามกฎหมายว่าด้วยอุทยานแห่งชาติ</t>
  </si>
  <si>
    <t>1012</t>
  </si>
  <si>
    <t>ค่าธรรมเนียมจดทะเบียนสิทธิและนิติกรรมที่ดิน</t>
  </si>
  <si>
    <t>1013</t>
  </si>
  <si>
    <t>อากรประทานบัตรและอาชญาบัตรประมง</t>
  </si>
  <si>
    <t>1014</t>
  </si>
  <si>
    <t>อากรรังนกอีแอ่น</t>
  </si>
  <si>
    <t>1015</t>
  </si>
  <si>
    <t>ค่าธรรมเนียมน้ำบาดาลและใช้น้ำบาดาล</t>
  </si>
  <si>
    <t>1016</t>
  </si>
  <si>
    <t>ค่าธรรมเนียมสนามบิน</t>
  </si>
  <si>
    <t>1017</t>
  </si>
  <si>
    <t>รายได้ที่รัฐบาลอุดหนุนให้องค์กรปกครองส่วนท้องถิ่น</t>
  </si>
  <si>
    <t>หมวดเงินอุดหนุน</t>
  </si>
  <si>
    <t>2000</t>
  </si>
  <si>
    <t>เงินอุดหนุนเพื่อการบูรณะท้องถิ่นและกิจการอื่นทั่วไป</t>
  </si>
  <si>
    <t>(หรือเงินอุดหนุนทั่วไป)</t>
  </si>
  <si>
    <t>2001</t>
  </si>
  <si>
    <t>เงินอุดหนุนทั่วไป (อบต.)</t>
  </si>
  <si>
    <t>2002</t>
  </si>
  <si>
    <t>เงินอุดหนุนกรณีต่างๆ ที่ต้องนำมาตั้งงบประมาณ</t>
  </si>
  <si>
    <t>2003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</si>
  <si>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</si>
  <si>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</si>
  <si>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</si>
  <si>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-   อุดหนุนค่าพาหนะรับส่งสถานพยาบาลเด็ก</t>
  </si>
  <si>
    <t>3006</t>
  </si>
  <si>
    <t>- เงินอุดหนุนกิจกรรมพัฒนาครอบครัว</t>
  </si>
  <si>
    <t>-   ค่าตอบแทนครูผู้ดูแลเด็ก</t>
  </si>
  <si>
    <t>3007</t>
  </si>
  <si>
    <t>-ค่าเงินเดือนครูและบุคลากรสนันสนุนการสอน</t>
  </si>
  <si>
    <t>-   เงินประกันสังคมครูผู้ดูแลเด็ก</t>
  </si>
  <si>
    <t>3008</t>
  </si>
  <si>
    <t>-   เงินอุดหนุน-ช่วยเหลือภัยน้ำท่วมจากสันนิบาต</t>
  </si>
  <si>
    <t>-   ค่าวัสดุอุปกรณ์ศูนย์เด็ก</t>
  </si>
  <si>
    <t>-  เงินนอกงบ-ค่ารักษาพยาบาลครู</t>
  </si>
  <si>
    <t>-  เงินรางวัล  รพช</t>
  </si>
  <si>
    <t>-  เงินอุดหนุน-ไทยเข้มแข็ง</t>
  </si>
  <si>
    <t>-   เงินอุดหนุนกิจกรรมพัฒนาครอบครัว</t>
  </si>
  <si>
    <t>-   เงินอุดหนุนเบี้ยยังชีพคนพิการ</t>
  </si>
  <si>
    <t>-   เงินอุดหนุนเรียนฟรี  15  ปี</t>
  </si>
  <si>
    <t>-   เงินอุดหนุนเรียนฟรี 15 ปี</t>
  </si>
  <si>
    <t>-   เงินเบี้ยยังชีพคนชรา</t>
  </si>
  <si>
    <t>-   เงินอุดหนุนเครือข่าย  กศน</t>
  </si>
  <si>
    <t>-   เงินนอกงบ-ค่าวัสดุการศึกษาเด็กเล็ก</t>
  </si>
  <si>
    <t>-   เงินรางวัลการบริหารจัดการที่ดี</t>
  </si>
  <si>
    <t>-   เงินกู้ กสท.</t>
  </si>
  <si>
    <t>- เงินนอกงบ-ค่าจ้าง ผดด.</t>
  </si>
  <si>
    <t>-เงินนอกงบ-เงินสนับสนุนวันด็ก</t>
  </si>
  <si>
    <t>เงินนอกงบ-เงินรางวัล อปพร.ดีเด่น</t>
  </si>
  <si>
    <t>รวมทั้งสิ้น</t>
  </si>
  <si>
    <t>วันที่    30  กันยายน   2553</t>
  </si>
  <si>
    <t>-   เงินอุดหนุน-จัดซื้อครุภัณฑ์สนามเด็กเล่น</t>
  </si>
  <si>
    <t>-  เงินรางวัล อปพร. ดีเด่น</t>
  </si>
  <si>
    <t xml:space="preserve">  </t>
  </si>
  <si>
    <t xml:space="preserve"> กระดาษทำการกระทบยอด </t>
  </si>
  <si>
    <t xml:space="preserve"> รายจ่ายตามงบประมาณ   (จ่ายจากรายรับ) </t>
  </si>
  <si>
    <t xml:space="preserve"> ประจำเดือน   เมษายน  2557 </t>
  </si>
  <si>
    <t xml:space="preserve">  แผนงาน/งาน </t>
  </si>
  <si>
    <t xml:space="preserve"> บริหารทั่วไป </t>
  </si>
  <si>
    <t xml:space="preserve"> แผนงานรักษาความสงบภายใน </t>
  </si>
  <si>
    <t xml:space="preserve"> แผนงานการศึกษา </t>
  </si>
  <si>
    <t xml:space="preserve"> สาธารณสุข </t>
  </si>
  <si>
    <t xml:space="preserve"> สังคมสงเคราะห์ </t>
  </si>
  <si>
    <t xml:space="preserve"> แผนงานเคหะและชุมชน </t>
  </si>
  <si>
    <t xml:space="preserve"> ศาสนาวัฒนธรรม-นันทนาการ </t>
  </si>
  <si>
    <t xml:space="preserve"> การเกษตร </t>
  </si>
  <si>
    <t xml:space="preserve"> การพาณิชย์ </t>
  </si>
  <si>
    <t xml:space="preserve"> งบกลาง </t>
  </si>
  <si>
    <t xml:space="preserve">       แผนงาน/งาน </t>
  </si>
  <si>
    <t xml:space="preserve"> งาน </t>
  </si>
  <si>
    <t xml:space="preserve"> งานบริหาร </t>
  </si>
  <si>
    <t xml:space="preserve"> งานรักษาความ </t>
  </si>
  <si>
    <t xml:space="preserve"> งานป้องกัน </t>
  </si>
  <si>
    <t xml:space="preserve"> งานระดับ </t>
  </si>
  <si>
    <t xml:space="preserve"> งานสวัสดิการ </t>
  </si>
  <si>
    <t xml:space="preserve"> งานไฟฟ้า </t>
  </si>
  <si>
    <t xml:space="preserve"> งานกำจัดขยะ </t>
  </si>
  <si>
    <t xml:space="preserve"> งานบำบัด </t>
  </si>
  <si>
    <t xml:space="preserve"> ส่งเสริมและ </t>
  </si>
  <si>
    <t xml:space="preserve"> กีฬาและ </t>
  </si>
  <si>
    <t xml:space="preserve"> ศาสนา </t>
  </si>
  <si>
    <t xml:space="preserve"> ส่งเสริม </t>
  </si>
  <si>
    <t xml:space="preserve"> อนุรักษ์แหล่ง </t>
  </si>
  <si>
    <t xml:space="preserve"> กิจการ </t>
  </si>
  <si>
    <t xml:space="preserve"> งานคลัง </t>
  </si>
  <si>
    <t xml:space="preserve"> สงบภายใน </t>
  </si>
  <si>
    <t xml:space="preserve"> ภัยฝ่ายพลเรือน </t>
  </si>
  <si>
    <t xml:space="preserve"> การศึกษา </t>
  </si>
  <si>
    <t xml:space="preserve"> ก่อนวัยเรียนฯ </t>
  </si>
  <si>
    <t xml:space="preserve"> เกี่ยวกับสาธารณสุข </t>
  </si>
  <si>
    <t xml:space="preserve"> และสังคม </t>
  </si>
  <si>
    <t xml:space="preserve"> เคหะและชุมชน </t>
  </si>
  <si>
    <t xml:space="preserve"> ถนน </t>
  </si>
  <si>
    <t xml:space="preserve"> มูลฝอยปฎิกูล </t>
  </si>
  <si>
    <t xml:space="preserve"> น้ำเสีย </t>
  </si>
  <si>
    <t xml:space="preserve"> สนับสนุน </t>
  </si>
  <si>
    <t xml:space="preserve"> นันทนาการ </t>
  </si>
  <si>
    <t xml:space="preserve"> วัฒนธรรมฯ </t>
  </si>
  <si>
    <t xml:space="preserve"> น้ำและป่าไม้ </t>
  </si>
  <si>
    <t xml:space="preserve"> ประปา </t>
  </si>
  <si>
    <t xml:space="preserve"> หมวด/ประเภท </t>
  </si>
  <si>
    <t>00322</t>
  </si>
  <si>
    <t>00332</t>
  </si>
  <si>
    <t xml:space="preserve"> เงินเดือน (100) </t>
  </si>
  <si>
    <t xml:space="preserve"> -เงินเดือนผู้บริหาร </t>
  </si>
  <si>
    <t xml:space="preserve"> -เงินเดือนพนักงาน </t>
  </si>
  <si>
    <t xml:space="preserve"> -เงินเพิ่มต่างๆ </t>
  </si>
  <si>
    <t xml:space="preserve"> -เงินประจำตำแหน่ง </t>
  </si>
  <si>
    <t xml:space="preserve"> รวมเดือนนี้ </t>
  </si>
  <si>
    <t xml:space="preserve"> รวมแต่ต้นปี </t>
  </si>
  <si>
    <t xml:space="preserve"> ค่าจ้างประจำ (120) </t>
  </si>
  <si>
    <t xml:space="preserve"> -ค่าจ้างลูกจ้างประจำ </t>
  </si>
  <si>
    <t xml:space="preserve"> -เงินเพิ่ม </t>
  </si>
  <si>
    <t xml:space="preserve"> ค่าจ้างชั่วคราว (130) </t>
  </si>
  <si>
    <t xml:space="preserve"> -ค่าจ้างลูกจ้างชั่วคราว </t>
  </si>
  <si>
    <t xml:space="preserve"> ค่าตอบแทน (200) </t>
  </si>
  <si>
    <t xml:space="preserve"> -ค่าป่วยการ/สมาชิกฯ </t>
  </si>
  <si>
    <t xml:space="preserve"> -เงินป่วยการประจำฯ </t>
  </si>
  <si>
    <t xml:space="preserve"> -ค่าตอบแทนอันเป็นฯ </t>
  </si>
  <si>
    <t xml:space="preserve"> -ค่าเบี้ยประชุม </t>
  </si>
  <si>
    <t xml:space="preserve"> -ค่าใช้จ่ายในการเลือกตั้ง </t>
  </si>
  <si>
    <t xml:space="preserve"> -ค่าตอบแทนนอกเวลาฯ </t>
  </si>
  <si>
    <t xml:space="preserve"> -ค่าเช่าบ้าน </t>
  </si>
  <si>
    <t xml:space="preserve"> -ค่าช่วยเหลือการศึกษาบุตร </t>
  </si>
  <si>
    <t xml:space="preserve"> -ค่ารักษาพยาบาล </t>
  </si>
  <si>
    <t xml:space="preserve"> -เงินช่วยเหลือบุตร </t>
  </si>
  <si>
    <t xml:space="preserve"> -บำเหน็จลูกจ้าง </t>
  </si>
  <si>
    <t xml:space="preserve"> ค่าใช้สอย (250) </t>
  </si>
  <si>
    <t xml:space="preserve"> -รายจ่ายเพื่อให้ได้บริการ </t>
  </si>
  <si>
    <t xml:space="preserve"> -รายจ่ายบำรุงซ่อมแซม </t>
  </si>
  <si>
    <t xml:space="preserve"> -รายจ่ายเกี่ยวกับรับรองพิธี </t>
  </si>
  <si>
    <t xml:space="preserve"> -รายจ่ายเกี่ยวเนื่องฯ </t>
  </si>
  <si>
    <t xml:space="preserve"> -ค่าเช่าทรัพย์สิน </t>
  </si>
  <si>
    <t xml:space="preserve"> -รายจ่ายบริหารสาธารณสุข </t>
  </si>
  <si>
    <t xml:space="preserve"> ค่าวัสดุ (270) </t>
  </si>
  <si>
    <t xml:space="preserve"> -วัสดุสำนักงาน </t>
  </si>
  <si>
    <t xml:space="preserve"> -วัสดุไฟฟ้าวิทยุ </t>
  </si>
  <si>
    <t xml:space="preserve"> -วัสดุงานบ้านงานครัว </t>
  </si>
  <si>
    <t xml:space="preserve"> -วัสดุก่อสร้าง </t>
  </si>
  <si>
    <t xml:space="preserve"> -วัสดุยานพาหนะ </t>
  </si>
  <si>
    <t xml:space="preserve"> -วัสดุเชื้อเพลิงหล่อลื่น </t>
  </si>
  <si>
    <t xml:space="preserve"> -วัสดุวิทยาศาสตร์ </t>
  </si>
  <si>
    <t xml:space="preserve"> -วัสดุการเกษตร </t>
  </si>
  <si>
    <t xml:space="preserve"> -วัสดุโฆษณาเผยแพร่ </t>
  </si>
  <si>
    <t xml:space="preserve"> -วัสดุเครืองแต่งกาย </t>
  </si>
  <si>
    <t xml:space="preserve"> -วัสดุกีฬา </t>
  </si>
  <si>
    <t xml:space="preserve"> -วัสดุคอมพิวเตอร์ </t>
  </si>
  <si>
    <t xml:space="preserve"> -วัสดุอื่น </t>
  </si>
  <si>
    <t xml:space="preserve"> -วัสดุดับเพลิง </t>
  </si>
  <si>
    <t xml:space="preserve"> -วัสดุการศึกษา </t>
  </si>
  <si>
    <t xml:space="preserve"> -วัสดุอาหารเสริม(นม) </t>
  </si>
  <si>
    <t xml:space="preserve"> ค่าสาธารณูปโภค (300) </t>
  </si>
  <si>
    <t xml:space="preserve"> -ค่าไฟฟ้า </t>
  </si>
  <si>
    <t xml:space="preserve"> -ค่าน้ำประปา </t>
  </si>
  <si>
    <t xml:space="preserve"> -ค่าโทรศัพท์ </t>
  </si>
  <si>
    <t xml:space="preserve"> -ค่าไปรษณีย์ </t>
  </si>
  <si>
    <t xml:space="preserve"> -ค่าบริการคมนาคม </t>
  </si>
  <si>
    <t xml:space="preserve"> เงินอุดหนุน (400) </t>
  </si>
  <si>
    <t xml:space="preserve"> -อุดหนุนส่วนราชการ เอกชนหรือกิจการ </t>
  </si>
  <si>
    <t xml:space="preserve"> -อุดหนุนอาหารกลางวัน </t>
  </si>
  <si>
    <t xml:space="preserve"> ค่าครุภัณฑ์ (450) </t>
  </si>
  <si>
    <t xml:space="preserve">  ครุภัณฑ์สำนักงาน  </t>
  </si>
  <si>
    <t>ครุภัณฑ์</t>
  </si>
  <si>
    <t xml:space="preserve">  ครุภัณฑ์ไฟฟ้าและวิทยุ  </t>
  </si>
  <si>
    <t>ค่าซ่อมแซมครุภัณฑ์</t>
  </si>
  <si>
    <t xml:space="preserve">  ค่าบำรุงรักษาและปรับปรุงฯ  </t>
  </si>
  <si>
    <t xml:space="preserve">  ครุภัณฑ์การเกษตร  </t>
  </si>
  <si>
    <t xml:space="preserve">  ครุภัณฑ์โฆษณาและฯ  </t>
  </si>
  <si>
    <t xml:space="preserve"> ค่าที่ดินและสิ่งก่อสร้าง (500) </t>
  </si>
  <si>
    <t xml:space="preserve"> รายจ่ายอื่น (550) </t>
  </si>
  <si>
    <t xml:space="preserve"> งบกลาง (000) </t>
  </si>
  <si>
    <t xml:space="preserve"> -เงินสมทบประกันสังคม </t>
  </si>
  <si>
    <t xml:space="preserve"> -เบี้ยยังชีพผู้ป่วยเอดส์ </t>
  </si>
  <si>
    <t xml:space="preserve"> - สำรองจ่าย </t>
  </si>
  <si>
    <t xml:space="preserve"> รายจ่ายตามข้อผูกพัน </t>
  </si>
  <si>
    <t xml:space="preserve"> - ทุน (ป.ตรี) </t>
  </si>
  <si>
    <t xml:space="preserve"> - ทุน (ป.โท) </t>
  </si>
  <si>
    <t xml:space="preserve"> - สมทบหลักประกันสุขภาพ </t>
  </si>
  <si>
    <t xml:space="preserve"> - สมทบกองทุนสวัสดิการชุมชน </t>
  </si>
  <si>
    <t xml:space="preserve"> - ทุนเด็กด้อยโอกาส </t>
  </si>
  <si>
    <t xml:space="preserve"> บำเหน็จบำนาญ </t>
  </si>
  <si>
    <t xml:space="preserve"> รวมทั้งสิ้นเดือนนี้ </t>
  </si>
  <si>
    <t xml:space="preserve"> รวมทั้งสิ้นตั้งแต่ต้นปี </t>
  </si>
  <si>
    <t xml:space="preserve">   (ลงชื่อ)   </t>
  </si>
  <si>
    <t xml:space="preserve">                  (นางเพ็ญประภา  แก้วไทย)   </t>
  </si>
  <si>
    <t xml:space="preserve">               (นางสาวนิตยา  ประเสริฐไทย)   </t>
  </si>
  <si>
    <t xml:space="preserve">                  (นายยุทธศาสตร์  วัชรธนาคม)   </t>
  </si>
  <si>
    <t xml:space="preserve">                       ผู้อำนวยการกองคลัง   </t>
  </si>
  <si>
    <t xml:space="preserve">                  ปลัดเทศบาลตำบลธาตุทอง   </t>
  </si>
  <si>
    <t xml:space="preserve">                   นายกเทศมนตรีตำบลธาตุทอง   </t>
  </si>
  <si>
    <t xml:space="preserve">   งบทดลอง   ( ก่อนปิดบัญชี )</t>
  </si>
  <si>
    <t xml:space="preserve">ณ    วันที่  31   ตุลาคม   2557  </t>
  </si>
  <si>
    <t>601</t>
  </si>
  <si>
    <t>ลูกหนี้เงินยืมสะสม</t>
  </si>
  <si>
    <t>704</t>
  </si>
  <si>
    <t>รายละเอียด  ประกอบงบทดลองและรายงานรับ - จ่ายเงินสด</t>
  </si>
  <si>
    <t>รับ</t>
  </si>
  <si>
    <t>จ่าย</t>
  </si>
  <si>
    <t>อำเภอแก้งคร้อ   จังหวัดชัยภูมิ</t>
  </si>
  <si>
    <t>รายจ่ายที่รอจ่าย</t>
  </si>
  <si>
    <t>ประจำปีงบประมาณ   2553</t>
  </si>
  <si>
    <t>ณ    วันที่   30  กันยายน   พ.ศ. 2552</t>
  </si>
  <si>
    <t>ลำดับที่</t>
  </si>
  <si>
    <t>จำนวนเงินที่รอจ่าย</t>
  </si>
  <si>
    <t xml:space="preserve">  เงินประโยชน์ตอบแทนอื่น  เงินรางวัลโบนัส</t>
  </si>
  <si>
    <t>2,257,695</t>
  </si>
  <si>
    <t xml:space="preserve">   -</t>
  </si>
  <si>
    <r>
      <t>เงินรับฝาก</t>
    </r>
    <r>
      <rPr>
        <b/>
        <sz val="16"/>
        <rFont val="TH SarabunPSK"/>
        <family val="2"/>
      </rPr>
      <t xml:space="preserve">     (หมายเหตุ 2 )</t>
    </r>
  </si>
  <si>
    <t>คงเหลือ</t>
  </si>
  <si>
    <t>ค่าใช้จ่ายภาษีบำรุงท้องที่  5%</t>
  </si>
  <si>
    <t>ภาษีหัก  ณ  ที่จ่าย</t>
  </si>
  <si>
    <t>ประกันสัญญา</t>
  </si>
  <si>
    <r>
      <t>รายจ่ายค้างจ่าย</t>
    </r>
    <r>
      <rPr>
        <b/>
        <sz val="16"/>
        <rFont val="TH SarabunPSK"/>
        <family val="2"/>
      </rPr>
      <t xml:space="preserve">     (หมายเหตุ  3 )</t>
    </r>
  </si>
  <si>
    <t>หมวดที่จ่าย</t>
  </si>
  <si>
    <t>จำนวนเงิน</t>
  </si>
  <si>
    <t>-  ค่าอาหารเสริม (นม)</t>
  </si>
  <si>
    <t>-  ค่าอาหารกลางวัน</t>
  </si>
  <si>
    <t>-  ค่าอาหารว่าง</t>
  </si>
  <si>
    <t>-  ค่าติดตั้งวางระบบประปา ( จ่ายจากเงินนอกงบ - เงินรางวัล )</t>
  </si>
  <si>
    <t>-  ค่าจัดซื้อคอมพิวเตอร์ ( จ่ายจากเงินนอกงบ - เงินรางวัล )</t>
  </si>
  <si>
    <t>-  โครงการก่อสร้างท่อระบายน้ำ  ซอยบ้านนายสานนท์</t>
  </si>
  <si>
    <t>-  โครงการก่อสร้างท่อระบายน้ำ  ซอยบ้านนายคำภา</t>
  </si>
  <si>
    <t>-  ค่าก่อสร้างแนวกั้นรั้วขยะเทศบาล</t>
  </si>
  <si>
    <t>-  โครงการก่อสร้างห้องน้ำสาธารณะ  ( จ่ายจากเงินนอกงบ - เงินรางวัล )</t>
  </si>
  <si>
    <t>ผู้จัดทำ</t>
  </si>
  <si>
    <t>ผู้ตรวจสอบ</t>
  </si>
  <si>
    <t>-  โครงการก่อสร้างซ่อมแซมถนนแอสฟัลท์ติก  ( จ่ายจากเงินนอกงบ - เงินรางวัล )</t>
  </si>
  <si>
    <t xml:space="preserve">( ลงชื่อ )   </t>
  </si>
  <si>
    <t>-  โครงการก่อสร้างรั้วโรงเรียนอนุบาลเทศบาล  ( จ่ายจากเงินนอกงบ - เงินรางวัล )</t>
  </si>
  <si>
    <t xml:space="preserve">                 ( นางเพ็ญประภา      แก้วไทย )</t>
  </si>
  <si>
    <t xml:space="preserve">                  ( นางลัดดา      อิงชัยภูมิ )</t>
  </si>
  <si>
    <t>ตำแหน่ง    หัวหน้าฝ่ายพัฒนารายได้ 7</t>
  </si>
  <si>
    <t xml:space="preserve">                                         ตำแหน่ง   หัวหน้าฝ่ายบริหารงานคัลง 7</t>
  </si>
  <si>
    <t>อำเภอภูเขียว   จังหวัดชัยภูมิ</t>
  </si>
  <si>
    <t>ณ    วันที่   30  กันยายน  พ.ศ. 2557</t>
  </si>
  <si>
    <t>ภาษีหัก ณ ที่จ่าย</t>
  </si>
  <si>
    <t>เงินประกันสังคม</t>
  </si>
  <si>
    <t>ค่ารักษาพยาบาลครูรอคืนจังหวัด</t>
  </si>
  <si>
    <t>เบี้ยยังชีพคนพิการรอคืนจังหวัด</t>
  </si>
  <si>
    <t>เบี้ยยังชีพคนชรารอคืนจังหวัด</t>
  </si>
  <si>
    <t>-  ค่าปรับปรุงภูมิทัศน์กองสาธารณสุข</t>
  </si>
  <si>
    <t xml:space="preserve"> - โครงการก่อสร้างถนนเพื่อการเกษตร ม. 10 สายโสกแค</t>
  </si>
  <si>
    <t xml:space="preserve"> - โครงการซ่อมแซมระบบประปาผิวดิน ม. 2และ 8</t>
  </si>
  <si>
    <t xml:space="preserve"> -โครงการปรับปรุงถนนทางเข้าบ่อขยะเทศบาล</t>
  </si>
  <si>
    <r>
      <rPr>
        <b/>
        <sz val="16"/>
        <rFont val="TH SarabunPSK"/>
        <family val="2"/>
      </rPr>
      <t xml:space="preserve"> -</t>
    </r>
    <r>
      <rPr>
        <sz val="16"/>
        <rFont val="TH SarabunPSK"/>
        <family val="2"/>
      </rPr>
      <t>โครงการก่อสร้างร่องระบายน้ำคอนกรีตปากริ้นราง ม.3</t>
    </r>
  </si>
  <si>
    <t xml:space="preserve"> -โครงการปรับปรุงอาคารสำนักงาน</t>
  </si>
  <si>
    <t>ประจำปีงบประมาณ   2552</t>
  </si>
  <si>
    <t>ณ    วันที่   30  กันยายน   พ.ศ. 2553</t>
  </si>
  <si>
    <t>1983848</t>
  </si>
  <si>
    <t xml:space="preserve"> - โครงการพัฒนาครอบครัว</t>
  </si>
  <si>
    <t>เงินนอกงบประมาณ</t>
  </si>
  <si>
    <t xml:space="preserve"> -โครงการเรียนฟรี 15 ปี</t>
  </si>
  <si>
    <t>ณ    วันที่   31  ตุลาคม  พ.ศ. 2557</t>
  </si>
  <si>
    <t xml:space="preserve">ณ    วันที่  31  ตุลาคม   2557  </t>
  </si>
  <si>
    <t>ถึงปัจจุบัน</t>
  </si>
  <si>
    <t xml:space="preserve">                                                 เทศบาลตำบลธาตุทอง   อำเภอภูเขียว   จังหวัดชัยภูมิ                      (หมายเหตุ 1 )</t>
  </si>
  <si>
    <t>วันที่ 30  เดือน เมษายน  พ.ศ.2557</t>
  </si>
  <si>
    <t>รายรับเดือนนี้</t>
  </si>
  <si>
    <t>รับตั้งแต่ต้นปี</t>
  </si>
  <si>
    <t xml:space="preserve">  (1)  ภาษีโรงเรือนและที่ดิน</t>
  </si>
  <si>
    <t xml:space="preserve">  (2)  ภาษีบำรุงท้องที่</t>
  </si>
  <si>
    <t xml:space="preserve">  (3)  ภาษีป้าย</t>
  </si>
  <si>
    <t xml:space="preserve">  (4)  อากรการฆ่าสัตว์</t>
  </si>
  <si>
    <t xml:space="preserve">  (5) อากรรังนกอีแอ่น</t>
  </si>
  <si>
    <t xml:space="preserve">  (6)  ภาษีบำรุง อบจ.จากสถานค้าปลีกยาสูบ</t>
  </si>
  <si>
    <t xml:space="preserve">  (7)  ภาษีบำรุง อบจ.จากสุถานค้าปลีกน้ำมัน</t>
  </si>
  <si>
    <t xml:space="preserve">  (8) ค่าธรรมเนียมบำรุง อบจ.จากผู้พักโรงแรม</t>
  </si>
  <si>
    <t>หมวดค่าธรรมเนียมค่าปรับและค่าใบอนุญาต</t>
  </si>
  <si>
    <t xml:space="preserve">  (1)  ค่าธรรมเนียมเกี่ยวกับควบคุมการฆ่าสัตว์และจำหน่ายเนื้อสัตว์</t>
  </si>
  <si>
    <t xml:space="preserve">  (2) ค่าธรรมเนียมประทับตรารับรองให้จำหน่ายเนื้อสัตว์</t>
  </si>
  <si>
    <t xml:space="preserve">  (3)  ค่าธรรมเนียมเกี่ยวกับใบอนุญาตการขายสุรา</t>
  </si>
  <si>
    <t xml:space="preserve">  (4)  ค่าธรรมเนียมเกี่ยวกับใบอนุญาตการพนัน</t>
  </si>
  <si>
    <t xml:space="preserve">  (5)  ค่าธรรมเนียมเกี่ยวกับการจัดระเบียบจอดยานยนต์</t>
  </si>
  <si>
    <t xml:space="preserve">  (6)  ค่าธรรมเนียมเกี่ยวกับการควบคุมอาคาร</t>
  </si>
  <si>
    <t xml:space="preserve">  (7)  ค่าธรรมเนียมเก็บและขนมูลฝอย</t>
  </si>
  <si>
    <t xml:space="preserve">  (8)  ค่าธรรมเนียมเก็บและขนอุจจาระหรือสิ่งปฏิกูล</t>
  </si>
  <si>
    <t xml:space="preserve">  (9)  ค่าธรรมเนียมในการออกหนังสือรับรองการแจ้งสถานที่</t>
  </si>
  <si>
    <t xml:space="preserve">         จำหน่ายอาหารหรือสะสมอาหาร</t>
  </si>
  <si>
    <t xml:space="preserve">  (10)  ค่าธรรมเนียมเกี่ยวกับสุสานและฌาปนสถาน</t>
  </si>
  <si>
    <t xml:space="preserve">  (11)  ค่าธรรมเนียมปิด โปรย ติดตั้งแผ่นประกาศหรือแผ่นปลิว</t>
  </si>
  <si>
    <t xml:space="preserve">            เพื่อการโฆษณา</t>
  </si>
  <si>
    <t xml:space="preserve">  (12)  ค่าธรรมเนียมเกี่ยวกับการทะเบียนราษฎร</t>
  </si>
  <si>
    <t xml:space="preserve">  (13)  ค่าธรรมเนียมเกี่ยวกับบัตรประจำตัวประชาชน</t>
  </si>
  <si>
    <t xml:space="preserve">  (14) ค่าธรรมเนียมการฉีดวัคซีน/ใบรับรองการฉีดวัคซีน</t>
  </si>
  <si>
    <t xml:space="preserve">  (15)  ค่าธรรมเนียมเกี่ยวกับโรคพิษสุนัขบ้า</t>
  </si>
  <si>
    <t xml:space="preserve">  (16) ค่าธรรมเนียมเครื่องหมายประจำสัตว์</t>
  </si>
  <si>
    <t xml:space="preserve">  (17) ค่าธรรมเนียมตามประมวลกฎหมายที่ดินมาตรา 9 (อบจ.)</t>
  </si>
  <si>
    <t xml:space="preserve">  (18) ค่าธรรมเนียมการขอรับใบอนุญาตเป็นผู้มีสิทธิทำรายงาน</t>
  </si>
  <si>
    <t xml:space="preserve">           ผลกระทบสิ่งแวดล้อม</t>
  </si>
  <si>
    <r>
      <t xml:space="preserve">  (19)</t>
    </r>
    <r>
      <rPr>
        <sz val="14"/>
        <rFont val="Angsana New"/>
        <family val="1"/>
      </rPr>
      <t xml:space="preserve"> ค่าธรรมเนียมใบอนุญาตเป็นผู้มีสิทธิทำรายงานผลกระทบสิ่งแวดล้อม</t>
    </r>
  </si>
  <si>
    <t xml:space="preserve">  (20) ค่าธรรมเนียมคำขอรับใบอนุญาตเป็นผู้ควบคุม</t>
  </si>
  <si>
    <t xml:space="preserve">  (21) ค่าธรรมเนียมใบอนุญาตเป็นผู้ควบคุม</t>
  </si>
  <si>
    <t xml:space="preserve">  (22) ค่าธรรมเนียมคำขอรับใบอนุญาตเป็นผู้รับจ้างให้บริการ</t>
  </si>
  <si>
    <t xml:space="preserve">  (23) ค่าธรรมเนียมเป็นผู้รับจ้างให้บริการ</t>
  </si>
  <si>
    <t xml:space="preserve">  (24) ค่าธรรมเนียมการแพทย์</t>
  </si>
  <si>
    <t xml:space="preserve">  (25)  ค่าธรรมเนียมเกี่ยวกับการส่งเสริมและรักษาคุณภาพ</t>
  </si>
  <si>
    <t xml:space="preserve">            สิ่งแวดล้อมแห่งชาติ</t>
  </si>
  <si>
    <t xml:space="preserve">  (26)  ค่าธรรมเนียมเกี่ยวกับการบำบัดน้ำเสีย</t>
  </si>
  <si>
    <t xml:space="preserve">  (27) ค่าธรรมเนียมเกี่ยวกับการบำบัดน้ำทิ้ง</t>
  </si>
  <si>
    <t xml:space="preserve">  (28) ค่าธรรมเนียมจดทะเบียนพาณิชย์</t>
  </si>
  <si>
    <t xml:space="preserve">  (29) ค่าธรรมเนียมอื่น ๆ</t>
  </si>
  <si>
    <t xml:space="preserve">  (30)  ค่าปรับผู้กระทำความผิดกฎหมายการจัดระเบียบจอดยานยนต์</t>
  </si>
  <si>
    <t xml:space="preserve">  (31)  ค่าปรับผู้กระทำความผิดกฎหมายจราจรทางบก</t>
  </si>
  <si>
    <t xml:space="preserve">  (32)  ค่าปรับผู้กระทำความผิดกฎหมายการป้องกันและระงับอัคคีภัย</t>
  </si>
  <si>
    <t xml:space="preserve">  (33) ค่าปรับผู้กระทำผิดกฎหมายรักษาความสะอาดและความเป็น</t>
  </si>
  <si>
    <t xml:space="preserve">           ระเบียบเรียบร้อยของบ้านเมือง</t>
  </si>
  <si>
    <t xml:space="preserve">  (34) ค่าปรับผู้กระทำผิดกฎหมายการทะเบียนราษฏร</t>
  </si>
  <si>
    <t xml:space="preserve">  (35) ค่าปรับผู้กระทำผิดกฎหมายบัตรประจำตัวประชาชน</t>
  </si>
  <si>
    <t xml:space="preserve">  (36) ค่าปรับผู้กระทำผิดกฎหมายสาธารณสุข</t>
  </si>
  <si>
    <t xml:space="preserve">  (37) ค่าปรับผู้กระทำผิดกฎหมายโรคพิษสุนัขบ้า</t>
  </si>
  <si>
    <t xml:space="preserve">  (38)  ค่าปรับผู้กระทำความผิดกฎหมายและข้อบัญญัติท้องถิ่น</t>
  </si>
  <si>
    <t xml:space="preserve">  (39)  ค่าปรับการผิดสัญญา</t>
  </si>
  <si>
    <t xml:space="preserve">  (40) ค่าปรับผู้กระทำความผิดตาม พ.ร.บ.ทะเบียนพาณิชย์</t>
  </si>
  <si>
    <t xml:space="preserve">  (41)  ค่าปรับอื่นๆ</t>
  </si>
  <si>
    <t xml:space="preserve">  (42)  ค่าใบอนุญาตรับทำการเก็บ ขน  สิ่งปฏิกูลหรือมูลฝอย</t>
  </si>
  <si>
    <t xml:space="preserve">  (43)  ค่าใบอนุญาตรับทำการกำจัดสิ่งปฏิกูลหรือมูลฝอย</t>
  </si>
  <si>
    <r>
      <t xml:space="preserve">  (44)  </t>
    </r>
    <r>
      <rPr>
        <sz val="14"/>
        <rFont val="Angsana New"/>
        <family val="1"/>
      </rPr>
      <t>ค่าใบอนุญาตประกอบการค้าสำหรับกิจการที่เป็นอันตรายต่อสุขภาพ</t>
    </r>
  </si>
  <si>
    <t xml:space="preserve">  (45) ค่าใบอนุญาตจัดตั้งสถานที่จำหน่ายอาหารหรือสถานที่สะสม</t>
  </si>
  <si>
    <t xml:space="preserve">           อาหารในครัวหรือพื้นที่ใด ซึ่งมีพื้นที่ไม่เกิน 200  ตารางเมตร</t>
  </si>
  <si>
    <t xml:space="preserve">  (46)  ค่าใบอนุญาตจำหน่ายสินค้าในที่หรือทางสาธารณะ</t>
  </si>
  <si>
    <t xml:space="preserve">  (47) ค่าใบอนุญาตให้ตั้งตลาดเอกชน</t>
  </si>
  <si>
    <t xml:space="preserve">  (48)  ค่าใบอนุญาตเกี่ยวกับการควบคุมอาคาร</t>
  </si>
  <si>
    <t xml:space="preserve">  (49)  ค่าใบอนุญาตเกี่ยวกับการโฆษณาโดยใช้เครื่องขยายเสียง</t>
  </si>
  <si>
    <t xml:space="preserve">  (50)  ค่าใบอนุญาตอื่นๆ</t>
  </si>
  <si>
    <t xml:space="preserve">  (1)  ค่าเช่าที่ดิน</t>
  </si>
  <si>
    <t xml:space="preserve">  (2)  ค่าเช่าหรือค่าบริการสถานที่</t>
  </si>
  <si>
    <t xml:space="preserve">  (3)  ดอกเบี้ย</t>
  </si>
  <si>
    <t xml:space="preserve">  (4)  เงินปันผลหรือเงินรางวัลต่างๆ</t>
  </si>
  <si>
    <t xml:space="preserve">  (5)  ค่าตอบแทนตามที่กฎหมายกำหนด</t>
  </si>
  <si>
    <t xml:space="preserve">  (6) รายได้จากทรัพย์สินอื่น ๆ</t>
  </si>
  <si>
    <t xml:space="preserve">  (1) เงินช่วยเหลือจากการประปา</t>
  </si>
  <si>
    <t xml:space="preserve">  (2) เงินช่วยเหลือจากสถานธนานุบาล</t>
  </si>
  <si>
    <t xml:space="preserve">  (3)  เงินช่วยเหลือท้องถิ่นจากกิจการเฉพาะการ</t>
  </si>
  <si>
    <t xml:space="preserve">  (4)  เงินสะสมจากการโอนกิจการสาธารณูปโภคหรือการพาณิชย์</t>
  </si>
  <si>
    <t xml:space="preserve">  (5) เงินช่วยเหลือกิจการโรงแรม</t>
  </si>
  <si>
    <t xml:space="preserve">  (6)  รายได้จากสาธารณูปโภคและการพาณิชย์</t>
  </si>
  <si>
    <t xml:space="preserve">  (7) รายได้จากสาธารณูปโภคอื่น ๆ</t>
  </si>
  <si>
    <t xml:space="preserve"> -</t>
  </si>
  <si>
    <t xml:space="preserve">  (1) ค่าจำหน่ายเวชภัณฑ์</t>
  </si>
  <si>
    <t xml:space="preserve">  (2) ค่าจำหน่ายเศษของ</t>
  </si>
  <si>
    <t xml:space="preserve">  (3)  เงินที่มีผู้อุทิศให้</t>
  </si>
  <si>
    <t xml:space="preserve">  (4)  ค่าขายแบบแปลน</t>
  </si>
  <si>
    <t xml:space="preserve">  (5)  ค่าเขียนแบบแปลน</t>
  </si>
  <si>
    <t xml:space="preserve">  (6)  ค่าจำหน่ายแบบพิมพ์และคำร้อง</t>
  </si>
  <si>
    <t xml:space="preserve">  (7)  ค่ารับรองสำเนาและถ่ายเอกสาร</t>
  </si>
  <si>
    <t xml:space="preserve">  (8)  ค่าสมัครสมาชิกห้องสมุด</t>
  </si>
  <si>
    <t xml:space="preserve">  (9)  รายได้เบ็ดเตล็ดอื่นๆ</t>
  </si>
  <si>
    <t xml:space="preserve">  (1)  ค่าขายทอดตลาดทรัพย์สิน</t>
  </si>
  <si>
    <t xml:space="preserve">  (2)  รายได้จากทุนอื่น ๆ</t>
  </si>
  <si>
    <t>รายได้ที่รัฐบาลเก็บแล้วจัดสรรให้องค์กรปกครองส่วนท้องถิ่น</t>
  </si>
  <si>
    <t xml:space="preserve">  (1)  ภาษีและค่าธรรมเนียมรถยนต์หรือล้อเลื่อน</t>
  </si>
  <si>
    <t xml:space="preserve">  (2)  ภาษีมูลค่าเพิ่มตามพ.ร.บ.กำหนดแผนฯ</t>
  </si>
  <si>
    <t xml:space="preserve">  (3)  ภาษีบำรุงอบจ.จากภาษีมูลค่าเพิ่มที่จัดเก็บ</t>
  </si>
  <si>
    <t xml:space="preserve">         ตามประมวลรัษฎากร5%</t>
  </si>
  <si>
    <t xml:space="preserve">  (4) ภาษีมูลค่าเพิ่ม 1 ใน 9</t>
  </si>
  <si>
    <t xml:space="preserve">  (5)  ภาษีธุรกิจเฉพาะ</t>
  </si>
  <si>
    <t xml:space="preserve">  (6)  ภาษีสุรา</t>
  </si>
  <si>
    <t xml:space="preserve">  (7)  ภาษีสรรพสามิต</t>
  </si>
  <si>
    <t xml:space="preserve">  (8)  ภาษีการพนัน</t>
  </si>
  <si>
    <t xml:space="preserve">  (9)  ภาษียาสูบ</t>
  </si>
  <si>
    <t xml:space="preserve">  (10)  อากรประมง</t>
  </si>
  <si>
    <t xml:space="preserve">  (11) ค่าภาคหลวง</t>
  </si>
  <si>
    <t xml:space="preserve">  (12)  ค่าภาคหลวงแร่</t>
  </si>
  <si>
    <t xml:space="preserve">  (13)  ค่าภาคหลวงปิโตรเลียม</t>
  </si>
  <si>
    <t xml:space="preserve">  (14)  เงินที่เก็บตามกฎหมายว่าด้วยอุทยานแห่งชาติ</t>
  </si>
  <si>
    <t xml:space="preserve">  (15)  ค่าธรรมเนียมจดทะเบียนสิทธิและนิติกรรมที่ดิน</t>
  </si>
  <si>
    <t xml:space="preserve">  (16)  อากรประทานบัตรและอาชญาบัตรประมง</t>
  </si>
  <si>
    <t xml:space="preserve">  (17)  ค่าธรรมเนียมน้ำบาดาล</t>
  </si>
  <si>
    <t xml:space="preserve">  (18)  ค่าธรรมเนียมสนามบิน</t>
  </si>
  <si>
    <t xml:space="preserve">  (19)  ภาษีจัดสรรอื่นๆ</t>
  </si>
  <si>
    <t>หมวดเงินอุดหนุนทั่วไป(ชื่อการจัดสรรจะเปลี่ยนแปลงตามนโยบายของสกถ.)</t>
  </si>
  <si>
    <t xml:space="preserve">  (1)  เงินอุดหนุนทั่วไป สำหรับ อปท.ที่มีการบริหาร จัดการที่ดี</t>
  </si>
  <si>
    <t xml:space="preserve">  (2)  เงินอุดหนุนทั่วไป สำหรับดำเนินการตามอำนาจหน้าที่และ</t>
  </si>
  <si>
    <t xml:space="preserve">         ภารกิจถ่ายโอนเลือกทำ</t>
  </si>
  <si>
    <t>หมวดเงินอุดหนุนระบุวัตถุประสงค์</t>
  </si>
  <si>
    <t xml:space="preserve">  (1)  เงินอุดหนุนระบุวัตถุประสงค์ด้านการศึกษา</t>
  </si>
  <si>
    <t xml:space="preserve">           -  ส่งเสริมศักยภาพการจัดการศึกษา</t>
  </si>
  <si>
    <t xml:space="preserve">           -  ค่าเล่าเรียนบุตร</t>
  </si>
  <si>
    <t xml:space="preserve">           -  ค่ารักษาพยาบาล</t>
  </si>
  <si>
    <r>
      <t xml:space="preserve">  (2)  เงินอุดหนุนระบุวัตถุประสงค์จากกรมส่งเสริม</t>
    </r>
    <r>
      <rPr>
        <sz val="14"/>
        <rFont val="Angsana New"/>
        <family val="1"/>
      </rPr>
      <t>การปกครองท้องถิ่น</t>
    </r>
  </si>
  <si>
    <t xml:space="preserve">          -  เบี้ยยังชีพผู้พิการ</t>
  </si>
  <si>
    <t xml:space="preserve">          -  เบี้ยยังชีพผู้สูงอายุ</t>
  </si>
  <si>
    <t xml:space="preserve">          -  บริการสาธารณสุข</t>
  </si>
  <si>
    <t xml:space="preserve">  (3)  Reserve  Revenue</t>
  </si>
  <si>
    <t xml:space="preserve">                                                        รวม</t>
  </si>
  <si>
    <t>รวมรายรับทั้งสิ้น</t>
  </si>
  <si>
    <t>วันที่ 31  เดือน ตุลาคม  พ.ศ.2557</t>
  </si>
  <si>
    <t xml:space="preserve">  (3)  ภาษีภาษีมูลค่าเพิ่ม ตาม พ.ร.บ. จัดสรรรายได้</t>
  </si>
  <si>
    <t xml:space="preserve"> - โครงการก่อสร้างถนนเพื่อการเกษตร ม. 10 </t>
  </si>
  <si>
    <t xml:space="preserve">   สายโสกแค</t>
  </si>
  <si>
    <t xml:space="preserve">  (3)  พัฒนาประเทศให้แก่ อปท. (ตามยุทธศาสตร์การพัฒนาประเทศ)</t>
  </si>
  <si>
    <t>วันที่ 30  เดือน พฤศจิกายน  พ.ศ.2557</t>
  </si>
  <si>
    <t>ณ    วันที่   30  พฤศจิกายน  พ.ศ. 2557</t>
  </si>
  <si>
    <t xml:space="preserve">ณ    วันที่  30   พฤศจิกายน   2557  </t>
  </si>
  <si>
    <t xml:space="preserve">เงินฝากธนาคาร          ออมสิน  02009739545       </t>
  </si>
  <si>
    <t xml:space="preserve">                                       ธ.ก.ส.(ศก.) 21222825752</t>
  </si>
  <si>
    <t>ลูกหนี้    -  ภาษีบำรุงท้องที่</t>
  </si>
  <si>
    <t xml:space="preserve">                                                 เทศบาลตำบลธาตุทอง   อำเภอภูเขียว   จังหวัดชัยภูมิ           (หมายเหตุ 1 )</t>
  </si>
  <si>
    <t>รายจ่าย-งบกลาง (เงินอุดหนุนเฉพาะกิจ - ผู้พิการ)</t>
  </si>
  <si>
    <t>รายจ่าย-งบกลาง (เงินอุดหนุนเฉพาะกิจ - ผู้สูงอายุ)</t>
  </si>
  <si>
    <t>7000</t>
  </si>
  <si>
    <t xml:space="preserve">           -  เงินเดือนครู</t>
  </si>
  <si>
    <t xml:space="preserve">           -  ค่าตอบแทน ผดด.</t>
  </si>
  <si>
    <t xml:space="preserve">           -  เงินประกันสังคม ผดด.</t>
  </si>
  <si>
    <t xml:space="preserve">           -  ถ่ายโอนบุคลากรเงินเดือน/ค่าจ้าง/ประจำตำแหน่ง</t>
  </si>
  <si>
    <t xml:space="preserve">           -  ค่าจัดการเรียนการสอน  ศพด.</t>
  </si>
  <si>
    <t>งบ</t>
  </si>
  <si>
    <t>รายละเอียดรายจ่าย</t>
  </si>
  <si>
    <t xml:space="preserve">ณ    วันที่  31  ธันวาคม   2557  </t>
  </si>
  <si>
    <t>ณ    วันที่   31 ธันวาคม  พ.ศ. 2557</t>
  </si>
  <si>
    <t>ยอดยกมา</t>
  </si>
  <si>
    <t xml:space="preserve">                      รายรับจริงประกอบงบทดลองและรายงานรับ - จ่ายเงินสด</t>
  </si>
  <si>
    <t>วันที่ 31  เดือน ธันวาคม  พ.ศ.2557</t>
  </si>
  <si>
    <t xml:space="preserve">                                                 เทศบาลตำบลธาตุทอง   อำเภอภูเขียว   จังหวัดชัยภูมิ                         (หมายเหตุ 1 )</t>
  </si>
  <si>
    <t xml:space="preserve">เงินฝากธนาคาร          ออมสิน (ประจำ 9 เดือน 02009739545  )     </t>
  </si>
  <si>
    <t xml:space="preserve">                                       กรุงไทย( ออมทรัพย์ 2850064238)</t>
  </si>
  <si>
    <t xml:space="preserve">                                       ออมสิน  (ออมทรัพย์ 300019069446 )</t>
  </si>
  <si>
    <t>ธนาคารกรุงไทย (กระแส 2856003788 )</t>
  </si>
  <si>
    <t xml:space="preserve">                                       ธ.ก.ส. (ออมทรัพย์ 2122701271 )</t>
  </si>
  <si>
    <t xml:space="preserve">                                       ธ.ก.ส.(ออมทรัพย์ ศก. 21222825752 )</t>
  </si>
  <si>
    <t xml:space="preserve">                                       ธ.ก.ส. (ประจำ ระยะสั้น 310000466111 )</t>
  </si>
  <si>
    <t>703</t>
  </si>
  <si>
    <t>ค่าใช้จ่ายอื่น</t>
  </si>
  <si>
    <t>รายจ่าย-งบกลาง (เงินอุดหนุนเฉพาะกิจ - ประกันสังคม)</t>
  </si>
  <si>
    <t>เงินอุดหนุนทั่วไประบุวัตถุประสงค์ ( พัฒนาประเทศ)</t>
  </si>
  <si>
    <t>ณ    วันที่   31  มกราคม  พ.ศ. 2558</t>
  </si>
  <si>
    <t xml:space="preserve">                            เทศบาลตำบลธาตุทอง   อำเภอภูเขียว   จังหวัดชัยภูมิ            </t>
  </si>
  <si>
    <t xml:space="preserve"> (หมายเหตุ 1 )</t>
  </si>
  <si>
    <t xml:space="preserve">ณ    วันที่  31  มกราคม  2558  </t>
  </si>
  <si>
    <t>สปสช.</t>
  </si>
  <si>
    <t xml:space="preserve">                                                     รายรับจริงประกอบงบทดลองและรายงานรับ - จ่ายเงินสด</t>
  </si>
  <si>
    <t xml:space="preserve">                                                                    วันที่ 31  เดือน มกราคม  พ.ศ. 2558</t>
  </si>
  <si>
    <t>ณ    วันที่  28 กุมภาพันธ์  พ.ศ. 2558</t>
  </si>
  <si>
    <t xml:space="preserve">                                                                    วันที่ 28  เดือน กุมภาพันธ์  พ.ศ. 2558</t>
  </si>
  <si>
    <t>เงินเกินบัญชี</t>
  </si>
  <si>
    <t xml:space="preserve">   งบทดลอง   ( ก่อนปิดบัญชี ) แก้ไข</t>
  </si>
  <si>
    <t>เงินปันผลและเงินเฉลี่ยคืนสหกรณ์</t>
  </si>
  <si>
    <t>ค่าตอบแทนเจ้าหน้าที่สหกรณ์</t>
  </si>
  <si>
    <t>ณ    วันที่  31 มีนาคม  พ.ศ. 2558</t>
  </si>
  <si>
    <t xml:space="preserve">  (4)  เงินอุดหนุนเฉพาะกิจโครงการป้องกันและแก้ไขปัญหายาเสพติด (กล้อง CCTV )</t>
  </si>
  <si>
    <t>เงินรับฝากเงินกองทุนเศรษฐกิจชุมชน</t>
  </si>
  <si>
    <t xml:space="preserve">                                                                    วันที่ 31 เดือน มีนาคม  พ.ศ. 2558</t>
  </si>
  <si>
    <t>ณ    วันที่  30  เมษายน  พ.ศ. 2558</t>
  </si>
  <si>
    <t xml:space="preserve">                                                                    วันที่ 30 เดือน เมษายน  พ.ศ. 2558</t>
  </si>
  <si>
    <t xml:space="preserve">เงินฝากธนาคาร          ออมสิน (ประจำ 9 เดือน 02009739345  )     </t>
  </si>
  <si>
    <t>ลูกหนี้เงินสะสม</t>
  </si>
  <si>
    <t xml:space="preserve">  (5)  เงินอุดหนุนเฉพาะกิจโครงการอาคารเรียนศูนย์พัฒนาเด็กเล็ก</t>
  </si>
  <si>
    <t>ณ    วันที่  31  พฤษภาคม  พ.ศ. 2558</t>
  </si>
  <si>
    <t xml:space="preserve">                                                                    วันที่ 31 เดือน พฤษภาคม  พ.ศ. 2558</t>
  </si>
  <si>
    <t>ณ    วันที่  30  มิถุนายน  พ.ศ. 2558</t>
  </si>
  <si>
    <t xml:space="preserve">                                                                    วันที่ 30 เดือน มิถุนายน  พ.ศ. 2558</t>
  </si>
  <si>
    <t>ณ    วันที่  31 กรกฎาคม  พ.ศ. 2558</t>
  </si>
  <si>
    <t xml:space="preserve">           -  ถ่ายโอนบุคลากร สวัสดิการ / สิทธิประโยชน์  </t>
  </si>
  <si>
    <t>เจ้าหนี้เงินสะสม</t>
  </si>
  <si>
    <t>สวัสดิการศึกษาบุตร ผดด.</t>
  </si>
  <si>
    <t xml:space="preserve">                                                                    วันที่ 31 เดือน กรกฎาคม  พ.ศ. 2558</t>
  </si>
  <si>
    <t>ณ    วันที่  31 สิงหาคม  พ.ศ. 2558</t>
  </si>
  <si>
    <t xml:space="preserve">                                                                    วันที่ 31 เดือน สิงหาคม  พ.ศ. 2558</t>
  </si>
  <si>
    <t xml:space="preserve">ณ    วันที่  30 กันยายน  2558  </t>
  </si>
  <si>
    <t>ณ    วันที่  30 กันยายน  พ.ศ. 2558</t>
  </si>
  <si>
    <t xml:space="preserve">                                                                    วันที่ 30 เดือน กันยายน  พ.ศ. 2558</t>
  </si>
  <si>
    <t>- โครงการจัดซื้อรถบรรทุกขยะมูลฝอยแบบเปิดข้างเทท้าย 1 คัน</t>
  </si>
  <si>
    <t>- โครงการจัดซื้อเครื่องสแกนเนอร์</t>
  </si>
  <si>
    <t>- จัดจ้างป้ายจราจรพร้อมติดตั้ง จำนวน  16 ป้าย</t>
  </si>
  <si>
    <t>- โครงการจัดซื้อกล้องวงจรปิด (CCTV)</t>
  </si>
  <si>
    <t>- โครงการจัดซื้อเครื่องพิมพ์แบบฉีกหมึก</t>
  </si>
  <si>
    <t>รายได้แผ่นดิน</t>
  </si>
  <si>
    <t xml:space="preserve">รายได้แผ่นดิน </t>
  </si>
  <si>
    <t>คืน</t>
  </si>
  <si>
    <t xml:space="preserve">   งบทดลอง   (ก่อนปิดบัญชี)</t>
  </si>
  <si>
    <t xml:space="preserve">   งบทดลอง   (หลังปิดบัญชี)</t>
  </si>
  <si>
    <t xml:space="preserve">  (3)  เงินอุดหนุนทั่วไป ตรามภารกิจที่ อปท.ได้รับการถ่ายโอนและการ</t>
  </si>
  <si>
    <t xml:space="preserve">        ส่งเสริมการจัดการศึกษา</t>
  </si>
  <si>
    <t>ประจำปีงบประมาณ  2558</t>
  </si>
  <si>
    <t>หมวด/ ประเภท</t>
  </si>
  <si>
    <t>เงินประโยชน์ตอบแทนอื่น เงินรางวัลโบนัส</t>
  </si>
  <si>
    <t xml:space="preserve">          (นางเพ็ญประภา  แก้วไทย)</t>
  </si>
  <si>
    <t xml:space="preserve">       ตำแหน่ง  ผู้อำนวยการกองคลัง 7</t>
  </si>
  <si>
    <t xml:space="preserve">          (นางสาวนิตยา  ประเสริฐไทย)</t>
  </si>
  <si>
    <t xml:space="preserve">       ตำแหน่ง  ปลัดเทศบาลตำบลธาตุทอง</t>
  </si>
  <si>
    <t>เพิ่ม  ส/ท  ปี  59</t>
  </si>
  <si>
    <t>เงินค่าจ้างชั่วคราว</t>
  </si>
  <si>
    <t>เดือน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</si>
  <si>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</si>
  <si>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</si>
  <si>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</si>
  <si>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</si>
  <si>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</si>
  <si>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</si>
  <si>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</si>
  <si>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</si>
  <si>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</si>
  <si>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</si>
  <si>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</si>
  <si>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</si>
  <si>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รายงาน รับ - จ่าย  เงินสด</t>
  </si>
  <si>
    <t>ปีงบประมาณ  2558</t>
  </si>
  <si>
    <t>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</si>
  <si>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</si>
  <si>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</si>
  <si>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</si>
  <si>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</si>
  <si>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</si>
  <si>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ใบผ่าน 3</t>
  </si>
  <si>
    <t xml:space="preserve">ยอดยกมาจากเดือน  9/57  </t>
  </si>
  <si>
    <t>รายรับ    (หมายเหตุ 1)</t>
  </si>
  <si>
    <t>Bank รวมกับทุก Bank</t>
  </si>
  <si>
    <t>ภาษีอากร</t>
  </si>
  <si>
    <t>ค่าธรรมเนียม  ค่าปรับและใบอนุญาต</t>
  </si>
  <si>
    <t>รายได้จากทุน</t>
  </si>
  <si>
    <t>ภาษีที่รัฐบาลเก็บแล้วจัดสรรให้</t>
  </si>
  <si>
    <t>เงินอุดหนุนทั่วไประบุวัตถุประสงค์</t>
  </si>
  <si>
    <t>เงินอุดหนุนเฉพาะกิจ</t>
  </si>
  <si>
    <t>11200+2400</t>
  </si>
  <si>
    <t>เงินรับฝาก (หมายเหตุ 2)</t>
  </si>
  <si>
    <t>หมายเหตุ 2 ด้านรับ</t>
  </si>
  <si>
    <t>ลูกหนี้โครงการเศรษฐกิจชมุชน</t>
  </si>
  <si>
    <t>ลูกหนี้ภาษีบำรุงท้องที่</t>
  </si>
  <si>
    <t>ลูกหนี้ - เงินยืมทดรองราชการ</t>
  </si>
  <si>
    <t>ลูกหนี้ - เงินยืมสะสม</t>
  </si>
  <si>
    <t>ค่าวัสดุสื่อการเรียนการสอน</t>
  </si>
  <si>
    <t>เงินรับฝากรอคืนจังหวัด</t>
  </si>
  <si>
    <t xml:space="preserve">รายได้แผ่นดิน  </t>
  </si>
  <si>
    <t>ประจำเดือน  ตุลาคม</t>
  </si>
  <si>
    <t>ประจำเดือน  พฤศจิกายน</t>
  </si>
  <si>
    <t>ประจำเดือน  ธันวาคม</t>
  </si>
  <si>
    <t>.</t>
  </si>
  <si>
    <t xml:space="preserve">เดือน </t>
  </si>
  <si>
    <t>ใบผ่าน 2</t>
  </si>
  <si>
    <t>5000</t>
  </si>
  <si>
    <t>5100</t>
  </si>
  <si>
    <t>5120</t>
  </si>
  <si>
    <t>5130</t>
  </si>
  <si>
    <t>5200</t>
  </si>
  <si>
    <t>5250</t>
  </si>
  <si>
    <t>6270</t>
  </si>
  <si>
    <t>5300</t>
  </si>
  <si>
    <t>5400</t>
  </si>
  <si>
    <t>5450</t>
  </si>
  <si>
    <t>6500</t>
  </si>
  <si>
    <t>เงินนอกงบ-เบี้ยคนชรา</t>
  </si>
  <si>
    <t>5550</t>
  </si>
  <si>
    <t>เงินนอกงบ-เบี้ยคนพิการ</t>
  </si>
  <si>
    <t>เงินนอกงบเงินประกันสังคม</t>
  </si>
  <si>
    <t>เงินนอกงบ - เงินประกันสังคม</t>
  </si>
  <si>
    <t>เงินนอกงบ-ค่าตอบแทน ผดด.</t>
  </si>
  <si>
    <t>เงินนอกงบ- เงินเดือนครู</t>
  </si>
  <si>
    <t>เงินรับฝาก (หมายเหตุ  2)</t>
  </si>
  <si>
    <t>900</t>
  </si>
  <si>
    <t>หมายเหตุ 2 ด้านจ่าย</t>
  </si>
  <si>
    <t>ลูกหนี้เงินยืม  สะสม</t>
  </si>
  <si>
    <t>ลูกหนี้เงินยืมทดลองราชการ</t>
  </si>
  <si>
    <t>เงินนอกงบ-โครงการบำบัดฟื้นฟู</t>
  </si>
  <si>
    <t>เงินอุดหนุนเฉพาะกิจ-ฝากจังหวัดค้างจ่าย</t>
  </si>
  <si>
    <t>เงินอุดหนุนเฉพาะกิจ -โครงการป้องกันและแก้ไขปัญหายาเสพติด (กล้อง CCTV)</t>
  </si>
  <si>
    <t xml:space="preserve"> เงินอุดหนุนทั่วไประบุวัตถุประสงค์-ค่าจัดการเรียนการสอน ศพด. </t>
  </si>
  <si>
    <t>เงินอุดหนุนเฉพาะกิจ -โครงการอาคารเรียนศูนย์พัฒนาเด็ก</t>
  </si>
  <si>
    <t>สูงกว่า</t>
  </si>
  <si>
    <t>รายรับ                     รายจ่าย</t>
  </si>
  <si>
    <t>ต่ำกว่า</t>
  </si>
  <si>
    <t>ยอดยกไป</t>
  </si>
  <si>
    <t>ยอดคงหลือ Bank เดือน  10/57   รวมกับทุก Bank</t>
  </si>
  <si>
    <t>BANK</t>
  </si>
  <si>
    <t>Bank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</si>
</sst>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-"/>
    <numFmt numFmtId="188" formatCode="_(* #,##0.00_);_(* \(#,##0.00\);_(* &quot;-&quot;??_);_(@_)"/>
    <numFmt numFmtId="189" formatCode="_(* #,##0_);_(* \(#,##0\);_(* &quot;-&quot;??_);_(@_)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&quot;วันที่ &quot;dd\ &quot;เดือน &quot;\ mmmm\ &quot;พ.ศ 2552&quot;\ "/>
    <numFmt numFmtId="195" formatCode="#,##0_ ;\-#,##0\ "/>
    <numFmt numFmtId="196" formatCode="0.0"/>
    <numFmt numFmtId="197" formatCode="#,##0.00_ ;[Red]\-#,##0.00\ "/>
  </numFmts>
  <fonts count="11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UPC"/>
      <family val="1"/>
    </font>
    <font>
      <sz val="14"/>
      <name val="Angsana New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b/>
      <sz val="16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7"/>
      <name val="AngsanaUPC"/>
      <family val="1"/>
    </font>
    <font>
      <sz val="10"/>
      <name val="AngsanaUPC"/>
      <family val="1"/>
    </font>
    <font>
      <b/>
      <sz val="14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sz val="14"/>
      <color indexed="57"/>
      <name val="AngsanaUPC"/>
      <family val="1"/>
    </font>
    <font>
      <b/>
      <sz val="15"/>
      <color indexed="50"/>
      <name val="AngsanaUPC"/>
      <family val="1"/>
    </font>
    <font>
      <b/>
      <sz val="15"/>
      <color indexed="57"/>
      <name val="AngsanaUPC"/>
      <family val="1"/>
    </font>
    <font>
      <b/>
      <sz val="15"/>
      <color indexed="17"/>
      <name val="AngsanaUPC"/>
      <family val="1"/>
    </font>
    <font>
      <b/>
      <u val="single"/>
      <sz val="14"/>
      <name val="TH SarabunPSK"/>
      <family val="2"/>
    </font>
    <font>
      <u val="singleAccounting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b/>
      <sz val="14"/>
      <name val="Angsana New"/>
      <family val="1"/>
    </font>
    <font>
      <b/>
      <sz val="26"/>
      <name val="Angsana New"/>
      <family val="1"/>
    </font>
    <font>
      <b/>
      <sz val="19"/>
      <name val="Angsana New"/>
      <family val="1"/>
    </font>
    <font>
      <b/>
      <sz val="18"/>
      <name val="Angsana New"/>
      <family val="1"/>
    </font>
    <font>
      <b/>
      <sz val="19"/>
      <name val="TH SarabunPSK"/>
      <family val="2"/>
    </font>
    <font>
      <sz val="15"/>
      <name val="Angsana New"/>
      <family val="1"/>
    </font>
    <font>
      <sz val="11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sz val="20"/>
      <name val="Angsana New"/>
      <family val="1"/>
    </font>
    <font>
      <sz val="14"/>
      <name val="Cordia New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u val="single"/>
      <sz val="13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16"/>
      <color indexed="10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5"/>
      <color indexed="10"/>
      <name val="Angsana New"/>
      <family val="1"/>
    </font>
    <font>
      <b/>
      <sz val="16"/>
      <color indexed="8"/>
      <name val="Angsana New"/>
      <family val="1"/>
    </font>
    <font>
      <b/>
      <sz val="16"/>
      <color indexed="10"/>
      <name val="Angsana New"/>
      <family val="1"/>
    </font>
    <font>
      <sz val="11"/>
      <color indexed="8"/>
      <name val="TH Niramit AS"/>
      <family val="0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sz val="20"/>
      <color indexed="8"/>
      <name val="TH Niramit AS"/>
      <family val="0"/>
    </font>
    <font>
      <b/>
      <sz val="20"/>
      <color indexed="8"/>
      <name val="TH Niramit AS"/>
      <family val="0"/>
    </font>
    <font>
      <sz val="13"/>
      <color indexed="10"/>
      <name val="TH SarabunPSK"/>
      <family val="2"/>
    </font>
    <font>
      <sz val="10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5"/>
      <color theme="1"/>
      <name val="Angsana New"/>
      <family val="1"/>
    </font>
    <font>
      <sz val="16"/>
      <color rgb="FFFF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  <font>
      <sz val="15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FF0000"/>
      <name val="Angsana New"/>
      <family val="1"/>
    </font>
    <font>
      <sz val="11"/>
      <color theme="1"/>
      <name val="TH Niramit AS"/>
      <family val="0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sz val="20"/>
      <color theme="1"/>
      <name val="TH Niramit AS"/>
      <family val="0"/>
    </font>
    <font>
      <sz val="13"/>
      <color rgb="FFFF0000"/>
      <name val="TH SarabunPSK"/>
      <family val="2"/>
    </font>
    <font>
      <sz val="10"/>
      <color rgb="FFFF0000"/>
      <name val="TH SarabunPSK"/>
      <family val="2"/>
    </font>
    <font>
      <b/>
      <sz val="20"/>
      <color theme="1"/>
      <name val="TH Niramit AS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1" borderId="2" applyNumberFormat="0" applyAlignment="0" applyProtection="0"/>
    <xf numFmtId="0" fontId="90" fillId="0" borderId="3" applyNumberFormat="0" applyFill="0" applyAlignment="0" applyProtection="0"/>
    <xf numFmtId="0" fontId="9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2" fillId="23" borderId="1" applyNumberFormat="0" applyAlignment="0" applyProtection="0"/>
    <xf numFmtId="0" fontId="93" fillId="24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0" borderId="4" applyNumberFormat="0" applyFill="0" applyAlignment="0" applyProtection="0"/>
    <xf numFmtId="0" fontId="95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96" fillId="20" borderId="5" applyNumberFormat="0" applyAlignment="0" applyProtection="0"/>
    <xf numFmtId="0" fontId="0" fillId="32" borderId="6" applyNumberFormat="0" applyFont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901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/>
      <protection/>
    </xf>
    <xf numFmtId="0" fontId="5" fillId="0" borderId="12" xfId="49" applyFont="1" applyBorder="1" applyAlignment="1">
      <alignment horizontal="center" vertical="center"/>
      <protection/>
    </xf>
    <xf numFmtId="0" fontId="5" fillId="0" borderId="12" xfId="49" applyFont="1" applyBorder="1" applyAlignment="1">
      <alignment horizontal="center"/>
      <protection/>
    </xf>
    <xf numFmtId="0" fontId="6" fillId="0" borderId="11" xfId="49" applyFont="1" applyBorder="1">
      <alignment/>
      <protection/>
    </xf>
    <xf numFmtId="43" fontId="5" fillId="0" borderId="11" xfId="38" applyFont="1" applyBorder="1" applyAlignment="1">
      <alignment horizontal="center"/>
    </xf>
    <xf numFmtId="43" fontId="5" fillId="0" borderId="11" xfId="49" applyNumberFormat="1" applyFont="1" applyBorder="1" applyAlignment="1" quotePrefix="1">
      <alignment horizontal="center"/>
      <protection/>
    </xf>
    <xf numFmtId="4" fontId="5" fillId="0" borderId="11" xfId="49" applyNumberFormat="1" applyFont="1" applyBorder="1" applyAlignment="1" quotePrefix="1">
      <alignment horizontal="center"/>
      <protection/>
    </xf>
    <xf numFmtId="43" fontId="5" fillId="0" borderId="11" xfId="38" applyFont="1" applyBorder="1" applyAlignment="1" quotePrefix="1">
      <alignment horizontal="center"/>
    </xf>
    <xf numFmtId="43" fontId="5" fillId="0" borderId="11" xfId="38" applyNumberFormat="1" applyFont="1" applyBorder="1" applyAlignment="1" quotePrefix="1">
      <alignment horizontal="center"/>
    </xf>
    <xf numFmtId="0" fontId="4" fillId="0" borderId="11" xfId="49" applyFont="1" applyBorder="1">
      <alignment/>
      <protection/>
    </xf>
    <xf numFmtId="0" fontId="5" fillId="0" borderId="11" xfId="49" applyFont="1" applyBorder="1">
      <alignment/>
      <protection/>
    </xf>
    <xf numFmtId="0" fontId="5" fillId="0" borderId="11" xfId="49" applyFont="1" applyBorder="1" applyAlignment="1">
      <alignment horizontal="left"/>
      <protection/>
    </xf>
    <xf numFmtId="43" fontId="4" fillId="0" borderId="11" xfId="38" applyFont="1" applyBorder="1" applyAlignment="1">
      <alignment/>
    </xf>
    <xf numFmtId="43" fontId="5" fillId="0" borderId="11" xfId="56" applyNumberFormat="1" applyFont="1" applyBorder="1" applyAlignment="1" quotePrefix="1">
      <alignment horizontal="center"/>
    </xf>
    <xf numFmtId="0" fontId="5" fillId="0" borderId="11" xfId="49" applyFont="1" applyBorder="1" applyAlignment="1" quotePrefix="1">
      <alignment horizontal="center"/>
      <protection/>
    </xf>
    <xf numFmtId="187" fontId="5" fillId="0" borderId="11" xfId="49" applyNumberFormat="1" applyFont="1" applyBorder="1" applyAlignment="1" quotePrefix="1">
      <alignment horizontal="center"/>
      <protection/>
    </xf>
    <xf numFmtId="0" fontId="5" fillId="0" borderId="13" xfId="49" applyFont="1" applyBorder="1">
      <alignment/>
      <protection/>
    </xf>
    <xf numFmtId="43" fontId="5" fillId="0" borderId="14" xfId="38" applyNumberFormat="1" applyFont="1" applyBorder="1" applyAlignment="1">
      <alignment horizontal="center"/>
    </xf>
    <xf numFmtId="43" fontId="5" fillId="0" borderId="12" xfId="38" applyNumberFormat="1" applyFont="1" applyBorder="1" applyAlignment="1" quotePrefix="1">
      <alignment horizontal="center"/>
    </xf>
    <xf numFmtId="0" fontId="5" fillId="0" borderId="15" xfId="49" applyFont="1" applyBorder="1">
      <alignment/>
      <protection/>
    </xf>
    <xf numFmtId="43" fontId="5" fillId="0" borderId="12" xfId="38" applyNumberFormat="1" applyFont="1" applyBorder="1" applyAlignment="1">
      <alignment horizontal="center"/>
    </xf>
    <xf numFmtId="43" fontId="5" fillId="0" borderId="12" xfId="38" applyFont="1" applyBorder="1" applyAlignment="1" quotePrefix="1">
      <alignment horizontal="center"/>
    </xf>
    <xf numFmtId="43" fontId="5" fillId="0" borderId="12" xfId="49" applyNumberFormat="1" applyFont="1" applyBorder="1" applyAlignment="1" quotePrefix="1">
      <alignment horizontal="center"/>
      <protection/>
    </xf>
    <xf numFmtId="0" fontId="6" fillId="0" borderId="12" xfId="49" applyFont="1" applyBorder="1" applyAlignment="1">
      <alignment horizontal="center"/>
      <protection/>
    </xf>
    <xf numFmtId="43" fontId="5" fillId="0" borderId="12" xfId="38" applyFont="1" applyBorder="1" applyAlignment="1">
      <alignment horizontal="center"/>
    </xf>
    <xf numFmtId="43" fontId="4" fillId="0" borderId="16" xfId="38" applyFont="1" applyBorder="1" applyAlignment="1">
      <alignment/>
    </xf>
    <xf numFmtId="0" fontId="6" fillId="0" borderId="17" xfId="49" applyFont="1" applyBorder="1" applyAlignment="1">
      <alignment horizontal="center"/>
      <protection/>
    </xf>
    <xf numFmtId="43" fontId="5" fillId="0" borderId="17" xfId="38" applyFont="1" applyBorder="1" applyAlignment="1">
      <alignment horizontal="center"/>
    </xf>
    <xf numFmtId="0" fontId="5" fillId="0" borderId="17" xfId="49" applyFont="1" applyBorder="1" applyAlignment="1">
      <alignment horizontal="center"/>
      <protection/>
    </xf>
    <xf numFmtId="43" fontId="5" fillId="0" borderId="17" xfId="49" applyNumberFormat="1" applyFont="1" applyBorder="1" applyAlignment="1" quotePrefix="1">
      <alignment horizontal="center"/>
      <protection/>
    </xf>
    <xf numFmtId="43" fontId="5" fillId="0" borderId="17" xfId="38" applyFont="1" applyBorder="1" applyAlignment="1" quotePrefix="1">
      <alignment horizontal="center"/>
    </xf>
    <xf numFmtId="0" fontId="5" fillId="0" borderId="17" xfId="49" applyFont="1" applyBorder="1" applyAlignment="1" quotePrefix="1">
      <alignment horizontal="center"/>
      <protection/>
    </xf>
    <xf numFmtId="0" fontId="4" fillId="0" borderId="18" xfId="49" applyFont="1" applyBorder="1">
      <alignment/>
      <protection/>
    </xf>
    <xf numFmtId="0" fontId="5" fillId="0" borderId="19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center"/>
      <protection/>
    </xf>
    <xf numFmtId="0" fontId="2" fillId="0" borderId="20" xfId="49" applyBorder="1">
      <alignment/>
      <protection/>
    </xf>
    <xf numFmtId="0" fontId="2" fillId="0" borderId="17" xfId="49" applyBorder="1">
      <alignment/>
      <protection/>
    </xf>
    <xf numFmtId="0" fontId="2" fillId="0" borderId="0" xfId="49" applyBorder="1">
      <alignment/>
      <protection/>
    </xf>
    <xf numFmtId="43" fontId="2" fillId="0" borderId="0" xfId="49" applyNumberFormat="1" applyBorder="1">
      <alignment/>
      <protection/>
    </xf>
    <xf numFmtId="0" fontId="4" fillId="0" borderId="0" xfId="49" applyFont="1" applyBorder="1" applyAlignment="1">
      <alignment horizontal="center"/>
      <protection/>
    </xf>
    <xf numFmtId="187" fontId="5" fillId="0" borderId="11" xfId="38" applyNumberFormat="1" applyFont="1" applyBorder="1" applyAlignment="1" quotePrefix="1">
      <alignment horizontal="center"/>
    </xf>
    <xf numFmtId="0" fontId="5" fillId="0" borderId="12" xfId="49" applyFont="1" applyBorder="1">
      <alignment/>
      <protection/>
    </xf>
    <xf numFmtId="0" fontId="2" fillId="0" borderId="0" xfId="49">
      <alignment/>
      <protection/>
    </xf>
    <xf numFmtId="43" fontId="2" fillId="0" borderId="0" xfId="49" applyNumberFormat="1">
      <alignment/>
      <protection/>
    </xf>
    <xf numFmtId="0" fontId="4" fillId="0" borderId="0" xfId="49" applyFont="1" applyAlignment="1">
      <alignment vertical="center"/>
      <protection/>
    </xf>
    <xf numFmtId="0" fontId="8" fillId="0" borderId="0" xfId="49" applyFont="1" applyBorder="1">
      <alignment/>
      <protection/>
    </xf>
    <xf numFmtId="0" fontId="7" fillId="0" borderId="21" xfId="49" applyFont="1" applyBorder="1" applyAlignment="1">
      <alignment horizontal="center"/>
      <protection/>
    </xf>
    <xf numFmtId="43" fontId="7" fillId="0" borderId="21" xfId="49" applyNumberFormat="1" applyFont="1" applyBorder="1" applyAlignment="1">
      <alignment horizontal="center"/>
      <protection/>
    </xf>
    <xf numFmtId="0" fontId="9" fillId="0" borderId="21" xfId="49" applyFont="1" applyBorder="1" applyAlignment="1">
      <alignment vertical="center"/>
      <protection/>
    </xf>
    <xf numFmtId="43" fontId="9" fillId="0" borderId="21" xfId="38" applyNumberFormat="1" applyFont="1" applyBorder="1" applyAlignment="1" quotePrefix="1">
      <alignment horizontal="center"/>
    </xf>
    <xf numFmtId="43" fontId="9" fillId="0" borderId="21" xfId="38" applyNumberFormat="1" applyFont="1" applyBorder="1" applyAlignment="1">
      <alignment horizontal="center"/>
    </xf>
    <xf numFmtId="43" fontId="9" fillId="0" borderId="21" xfId="49" applyNumberFormat="1" applyFont="1" applyBorder="1">
      <alignment/>
      <protection/>
    </xf>
    <xf numFmtId="49" fontId="9" fillId="0" borderId="21" xfId="38" applyNumberFormat="1" applyFont="1" applyBorder="1" applyAlignment="1">
      <alignment horizontal="center"/>
    </xf>
    <xf numFmtId="49" fontId="9" fillId="0" borderId="21" xfId="38" applyNumberFormat="1" applyFont="1" applyBorder="1" applyAlignment="1" quotePrefix="1">
      <alignment horizontal="center"/>
    </xf>
    <xf numFmtId="0" fontId="8" fillId="0" borderId="21" xfId="49" applyFont="1" applyBorder="1">
      <alignment/>
      <protection/>
    </xf>
    <xf numFmtId="43" fontId="9" fillId="0" borderId="0" xfId="38" applyNumberFormat="1" applyFont="1" applyBorder="1" applyAlignment="1">
      <alignment horizontal="center"/>
    </xf>
    <xf numFmtId="43" fontId="9" fillId="0" borderId="0" xfId="49" applyNumberFormat="1" applyFont="1" applyBorder="1">
      <alignment/>
      <protection/>
    </xf>
    <xf numFmtId="43" fontId="9" fillId="0" borderId="22" xfId="38" applyNumberFormat="1" applyFont="1" applyBorder="1" applyAlignment="1">
      <alignment horizontal="center"/>
    </xf>
    <xf numFmtId="43" fontId="9" fillId="0" borderId="22" xfId="49" applyNumberFormat="1" applyFont="1" applyBorder="1">
      <alignment/>
      <protection/>
    </xf>
    <xf numFmtId="43" fontId="8" fillId="0" borderId="0" xfId="49" applyNumberFormat="1" applyFont="1" applyBorder="1">
      <alignment/>
      <protection/>
    </xf>
    <xf numFmtId="0" fontId="13" fillId="0" borderId="0" xfId="49" applyFont="1">
      <alignment/>
      <protection/>
    </xf>
    <xf numFmtId="0" fontId="5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4" fontId="5" fillId="0" borderId="0" xfId="49" applyNumberFormat="1" applyFont="1" applyBorder="1">
      <alignment/>
      <protection/>
    </xf>
    <xf numFmtId="0" fontId="14" fillId="0" borderId="0" xfId="49" applyNumberFormat="1" applyFont="1" applyBorder="1" applyAlignment="1">
      <alignment horizontal="right"/>
      <protection/>
    </xf>
    <xf numFmtId="0" fontId="15" fillId="0" borderId="0" xfId="49" applyFont="1" applyAlignment="1">
      <alignment horizontal="center"/>
      <protection/>
    </xf>
    <xf numFmtId="0" fontId="15" fillId="0" borderId="0" xfId="49" applyNumberFormat="1" applyFont="1" applyAlignment="1">
      <alignment horizontal="center"/>
      <protection/>
    </xf>
    <xf numFmtId="0" fontId="14" fillId="0" borderId="0" xfId="49" applyNumberFormat="1" applyFont="1" applyBorder="1" applyAlignment="1">
      <alignment horizontal="center"/>
      <protection/>
    </xf>
    <xf numFmtId="0" fontId="16" fillId="0" borderId="0" xfId="49" applyFont="1" applyFill="1">
      <alignment/>
      <protection/>
    </xf>
    <xf numFmtId="0" fontId="17" fillId="0" borderId="0" xfId="49" applyFont="1" applyAlignment="1">
      <alignment horizontal="center"/>
      <protection/>
    </xf>
    <xf numFmtId="4" fontId="17" fillId="0" borderId="0" xfId="49" applyNumberFormat="1" applyFont="1" applyAlignment="1">
      <alignment horizontal="center"/>
      <protection/>
    </xf>
    <xf numFmtId="0" fontId="17" fillId="0" borderId="0" xfId="49" applyNumberFormat="1" applyFont="1">
      <alignment/>
      <protection/>
    </xf>
    <xf numFmtId="0" fontId="5" fillId="0" borderId="0" xfId="49" applyNumberFormat="1" applyFont="1" applyBorder="1">
      <alignment/>
      <protection/>
    </xf>
    <xf numFmtId="0" fontId="17" fillId="0" borderId="0" xfId="49" applyFont="1">
      <alignment/>
      <protection/>
    </xf>
    <xf numFmtId="4" fontId="15" fillId="0" borderId="0" xfId="49" applyNumberFormat="1" applyFont="1">
      <alignment/>
      <protection/>
    </xf>
    <xf numFmtId="4" fontId="15" fillId="0" borderId="23" xfId="49" applyNumberFormat="1" applyFont="1" applyBorder="1">
      <alignment/>
      <protection/>
    </xf>
    <xf numFmtId="4" fontId="17" fillId="0" borderId="0" xfId="49" applyNumberFormat="1" applyFont="1">
      <alignment/>
      <protection/>
    </xf>
    <xf numFmtId="4" fontId="17" fillId="0" borderId="0" xfId="38" applyNumberFormat="1" applyFont="1" applyAlignment="1">
      <alignment/>
    </xf>
    <xf numFmtId="4" fontId="5" fillId="0" borderId="0" xfId="38" applyNumberFormat="1" applyFont="1" applyBorder="1" applyAlignment="1">
      <alignment/>
    </xf>
    <xf numFmtId="4" fontId="17" fillId="0" borderId="0" xfId="38" applyNumberFormat="1" applyFont="1" applyBorder="1" applyAlignment="1">
      <alignment/>
    </xf>
    <xf numFmtId="4" fontId="17" fillId="0" borderId="23" xfId="38" applyNumberFormat="1" applyFont="1" applyBorder="1" applyAlignment="1">
      <alignment/>
    </xf>
    <xf numFmtId="4" fontId="15" fillId="0" borderId="24" xfId="38" applyNumberFormat="1" applyFont="1" applyBorder="1" applyAlignment="1">
      <alignment/>
    </xf>
    <xf numFmtId="4" fontId="15" fillId="0" borderId="25" xfId="49" applyNumberFormat="1" applyFont="1" applyBorder="1">
      <alignment/>
      <protection/>
    </xf>
    <xf numFmtId="4" fontId="18" fillId="0" borderId="0" xfId="49" applyNumberFormat="1" applyFont="1" applyBorder="1">
      <alignment/>
      <protection/>
    </xf>
    <xf numFmtId="0" fontId="19" fillId="0" borderId="0" xfId="49" applyFont="1">
      <alignment/>
      <protection/>
    </xf>
    <xf numFmtId="0" fontId="20" fillId="0" borderId="0" xfId="49" applyFont="1">
      <alignment/>
      <protection/>
    </xf>
    <xf numFmtId="4" fontId="20" fillId="0" borderId="0" xfId="49" applyNumberFormat="1" applyFont="1">
      <alignment/>
      <protection/>
    </xf>
    <xf numFmtId="4" fontId="20" fillId="0" borderId="0" xfId="49" applyNumberFormat="1" applyFont="1" applyBorder="1">
      <alignment/>
      <protection/>
    </xf>
    <xf numFmtId="0" fontId="15" fillId="0" borderId="0" xfId="49" applyFont="1">
      <alignment/>
      <protection/>
    </xf>
    <xf numFmtId="4" fontId="15" fillId="0" borderId="0" xfId="49" applyNumberFormat="1" applyFont="1" applyBorder="1">
      <alignment/>
      <protection/>
    </xf>
    <xf numFmtId="4" fontId="14" fillId="0" borderId="0" xfId="49" applyNumberFormat="1" applyFont="1" applyBorder="1">
      <alignment/>
      <protection/>
    </xf>
    <xf numFmtId="0" fontId="21" fillId="0" borderId="0" xfId="49" applyFont="1">
      <alignment/>
      <protection/>
    </xf>
    <xf numFmtId="43" fontId="5" fillId="0" borderId="0" xfId="38" applyFont="1" applyAlignment="1">
      <alignment/>
    </xf>
    <xf numFmtId="0" fontId="16" fillId="0" borderId="0" xfId="49" applyFont="1">
      <alignment/>
      <protection/>
    </xf>
    <xf numFmtId="4" fontId="5" fillId="0" borderId="0" xfId="49" applyNumberFormat="1" applyFont="1">
      <alignment/>
      <protection/>
    </xf>
    <xf numFmtId="0" fontId="10" fillId="0" borderId="0" xfId="50" applyFont="1" applyBorder="1">
      <alignment/>
      <protection/>
    </xf>
    <xf numFmtId="43" fontId="10" fillId="0" borderId="0" xfId="39" applyFont="1" applyBorder="1" applyAlignment="1">
      <alignment horizontal="center"/>
    </xf>
    <xf numFmtId="43" fontId="10" fillId="0" borderId="0" xfId="39" applyNumberFormat="1" applyFont="1" applyBorder="1" applyAlignment="1" quotePrefix="1">
      <alignment horizontal="center"/>
    </xf>
    <xf numFmtId="43" fontId="10" fillId="0" borderId="0" xfId="39" applyFont="1" applyBorder="1" applyAlignment="1">
      <alignment horizontal="left"/>
    </xf>
    <xf numFmtId="43" fontId="11" fillId="0" borderId="10" xfId="39" applyFont="1" applyBorder="1" applyAlignment="1">
      <alignment horizontal="center"/>
    </xf>
    <xf numFmtId="43" fontId="11" fillId="0" borderId="26" xfId="39" applyFont="1" applyBorder="1" applyAlignment="1">
      <alignment horizontal="center"/>
    </xf>
    <xf numFmtId="43" fontId="11" fillId="0" borderId="27" xfId="39" applyFont="1" applyBorder="1" applyAlignment="1">
      <alignment horizontal="center"/>
    </xf>
    <xf numFmtId="43" fontId="11" fillId="0" borderId="20" xfId="39" applyFont="1" applyBorder="1" applyAlignment="1">
      <alignment/>
    </xf>
    <xf numFmtId="0" fontId="11" fillId="0" borderId="27" xfId="50" applyFont="1" applyBorder="1" applyAlignment="1">
      <alignment/>
      <protection/>
    </xf>
    <xf numFmtId="0" fontId="11" fillId="0" borderId="20" xfId="50" applyFont="1" applyBorder="1" applyAlignment="1">
      <alignment/>
      <protection/>
    </xf>
    <xf numFmtId="0" fontId="11" fillId="0" borderId="27" xfId="50" applyFont="1" applyBorder="1">
      <alignment/>
      <protection/>
    </xf>
    <xf numFmtId="0" fontId="11" fillId="0" borderId="20" xfId="50" applyFont="1" applyBorder="1">
      <alignment/>
      <protection/>
    </xf>
    <xf numFmtId="43" fontId="10" fillId="0" borderId="0" xfId="39" applyFont="1" applyBorder="1" applyAlignment="1" quotePrefix="1">
      <alignment horizontal="center"/>
    </xf>
    <xf numFmtId="43" fontId="11" fillId="0" borderId="0" xfId="39" applyFont="1" applyBorder="1" applyAlignment="1">
      <alignment horizontal="center"/>
    </xf>
    <xf numFmtId="0" fontId="11" fillId="0" borderId="0" xfId="50" applyFont="1" applyBorder="1" applyAlignment="1">
      <alignment/>
      <protection/>
    </xf>
    <xf numFmtId="0" fontId="22" fillId="0" borderId="11" xfId="50" applyFont="1" applyBorder="1">
      <alignment/>
      <protection/>
    </xf>
    <xf numFmtId="43" fontId="10" fillId="0" borderId="11" xfId="39" applyFont="1" applyBorder="1" applyAlignment="1">
      <alignment horizontal="center"/>
    </xf>
    <xf numFmtId="43" fontId="10" fillId="0" borderId="28" xfId="39" applyFont="1" applyBorder="1" applyAlignment="1">
      <alignment horizontal="center"/>
    </xf>
    <xf numFmtId="43" fontId="11" fillId="0" borderId="12" xfId="39" applyFont="1" applyBorder="1" applyAlignment="1">
      <alignment horizontal="center"/>
    </xf>
    <xf numFmtId="43" fontId="11" fillId="0" borderId="17" xfId="39" applyFont="1" applyBorder="1" applyAlignment="1">
      <alignment horizontal="center"/>
    </xf>
    <xf numFmtId="0" fontId="11" fillId="0" borderId="17" xfId="50" applyFont="1" applyBorder="1" applyAlignment="1">
      <alignment horizontal="center"/>
      <protection/>
    </xf>
    <xf numFmtId="0" fontId="11" fillId="0" borderId="17" xfId="50" applyFont="1" applyBorder="1" applyAlignment="1">
      <alignment/>
      <protection/>
    </xf>
    <xf numFmtId="0" fontId="10" fillId="0" borderId="11" xfId="50" applyFont="1" applyBorder="1">
      <alignment/>
      <protection/>
    </xf>
    <xf numFmtId="43" fontId="10" fillId="0" borderId="10" xfId="39" applyFont="1" applyBorder="1" applyAlignment="1">
      <alignment horizontal="center"/>
    </xf>
    <xf numFmtId="0" fontId="10" fillId="0" borderId="10" xfId="50" applyFont="1" applyBorder="1">
      <alignment/>
      <protection/>
    </xf>
    <xf numFmtId="43" fontId="10" fillId="0" borderId="0" xfId="39" applyFont="1" applyAlignment="1">
      <alignment/>
    </xf>
    <xf numFmtId="0" fontId="22" fillId="0" borderId="0" xfId="50" applyFont="1" applyBorder="1">
      <alignment/>
      <protection/>
    </xf>
    <xf numFmtId="43" fontId="10" fillId="0" borderId="0" xfId="39" applyFont="1" applyBorder="1" applyAlignment="1">
      <alignment/>
    </xf>
    <xf numFmtId="43" fontId="10" fillId="0" borderId="11" xfId="39" applyFont="1" applyBorder="1" applyAlignment="1" quotePrefix="1">
      <alignment horizontal="center"/>
    </xf>
    <xf numFmtId="43" fontId="10" fillId="0" borderId="28" xfId="39" applyFont="1" applyBorder="1" applyAlignment="1" quotePrefix="1">
      <alignment horizontal="center"/>
    </xf>
    <xf numFmtId="0" fontId="10" fillId="0" borderId="11" xfId="50" applyFont="1" applyBorder="1" applyAlignment="1">
      <alignment horizontal="left"/>
      <protection/>
    </xf>
    <xf numFmtId="43" fontId="10" fillId="0" borderId="0" xfId="39" applyNumberFormat="1" applyFont="1" applyBorder="1" applyAlignment="1">
      <alignment horizontal="center"/>
    </xf>
    <xf numFmtId="0" fontId="10" fillId="0" borderId="0" xfId="50" applyFont="1" applyBorder="1" applyAlignment="1">
      <alignment horizontal="left"/>
      <protection/>
    </xf>
    <xf numFmtId="43" fontId="11" fillId="0" borderId="11" xfId="39" applyNumberFormat="1" applyFont="1" applyBorder="1" applyAlignment="1">
      <alignment horizontal="center"/>
    </xf>
    <xf numFmtId="43" fontId="10" fillId="0" borderId="17" xfId="39" applyFont="1" applyBorder="1" applyAlignment="1" quotePrefix="1">
      <alignment horizontal="center"/>
    </xf>
    <xf numFmtId="43" fontId="10" fillId="0" borderId="26" xfId="39" applyFont="1" applyBorder="1" applyAlignment="1" quotePrefix="1">
      <alignment horizontal="center"/>
    </xf>
    <xf numFmtId="43" fontId="10" fillId="0" borderId="27" xfId="39" applyFont="1" applyBorder="1" applyAlignment="1" quotePrefix="1">
      <alignment horizontal="center"/>
    </xf>
    <xf numFmtId="43" fontId="10" fillId="0" borderId="11" xfId="39" applyNumberFormat="1" applyFont="1" applyBorder="1" applyAlignment="1" quotePrefix="1">
      <alignment horizontal="center"/>
    </xf>
    <xf numFmtId="43" fontId="10" fillId="0" borderId="12" xfId="39" applyFont="1" applyBorder="1" applyAlignment="1" quotePrefix="1">
      <alignment horizontal="center"/>
    </xf>
    <xf numFmtId="43" fontId="10" fillId="0" borderId="11" xfId="39" applyFont="1" applyBorder="1" applyAlignment="1">
      <alignment/>
    </xf>
    <xf numFmtId="43" fontId="11" fillId="0" borderId="17" xfId="39" applyFont="1" applyBorder="1" applyAlignment="1" quotePrefix="1">
      <alignment horizontal="center"/>
    </xf>
    <xf numFmtId="43" fontId="11" fillId="0" borderId="26" xfId="39" applyFont="1" applyBorder="1" applyAlignment="1" quotePrefix="1">
      <alignment horizontal="center"/>
    </xf>
    <xf numFmtId="43" fontId="10" fillId="0" borderId="17" xfId="39" applyNumberFormat="1" applyFont="1" applyBorder="1" applyAlignment="1" quotePrefix="1">
      <alignment horizontal="center"/>
    </xf>
    <xf numFmtId="0" fontId="10" fillId="0" borderId="17" xfId="50" applyFont="1" applyBorder="1">
      <alignment/>
      <protection/>
    </xf>
    <xf numFmtId="43" fontId="10" fillId="0" borderId="26" xfId="39" applyNumberFormat="1" applyFont="1" applyBorder="1" applyAlignment="1" quotePrefix="1">
      <alignment horizontal="center"/>
    </xf>
    <xf numFmtId="43" fontId="10" fillId="0" borderId="26" xfId="39" applyFont="1" applyBorder="1" applyAlignment="1">
      <alignment/>
    </xf>
    <xf numFmtId="43" fontId="11" fillId="0" borderId="0" xfId="39" applyNumberFormat="1" applyFont="1" applyBorder="1" applyAlignment="1">
      <alignment horizontal="center"/>
    </xf>
    <xf numFmtId="43" fontId="10" fillId="0" borderId="11" xfId="39" applyNumberFormat="1" applyFont="1" applyBorder="1" applyAlignment="1">
      <alignment horizontal="center"/>
    </xf>
    <xf numFmtId="0" fontId="10" fillId="0" borderId="0" xfId="50" applyFont="1">
      <alignment/>
      <protection/>
    </xf>
    <xf numFmtId="43" fontId="10" fillId="0" borderId="0" xfId="39" applyFont="1" applyBorder="1" applyAlignment="1">
      <alignment/>
    </xf>
    <xf numFmtId="43" fontId="11" fillId="0" borderId="17" xfId="39" applyNumberFormat="1" applyFont="1" applyBorder="1" applyAlignment="1" quotePrefix="1">
      <alignment horizontal="center"/>
    </xf>
    <xf numFmtId="43" fontId="10" fillId="0" borderId="12" xfId="39" applyFont="1" applyBorder="1" applyAlignment="1">
      <alignment horizontal="center"/>
    </xf>
    <xf numFmtId="43" fontId="10" fillId="0" borderId="24" xfId="39" applyFont="1" applyBorder="1" applyAlignment="1">
      <alignment horizontal="center"/>
    </xf>
    <xf numFmtId="43" fontId="10" fillId="0" borderId="24" xfId="39" applyNumberFormat="1" applyFont="1" applyBorder="1" applyAlignment="1" quotePrefix="1">
      <alignment horizontal="center"/>
    </xf>
    <xf numFmtId="0" fontId="10" fillId="0" borderId="12" xfId="50" applyFont="1" applyBorder="1">
      <alignment/>
      <protection/>
    </xf>
    <xf numFmtId="0" fontId="10" fillId="0" borderId="24" xfId="50" applyFont="1" applyBorder="1">
      <alignment/>
      <protection/>
    </xf>
    <xf numFmtId="43" fontId="10" fillId="0" borderId="17" xfId="39" applyFont="1" applyBorder="1" applyAlignment="1">
      <alignment horizontal="center"/>
    </xf>
    <xf numFmtId="43" fontId="10" fillId="0" borderId="26" xfId="39" applyFont="1" applyBorder="1" applyAlignment="1">
      <alignment horizontal="center"/>
    </xf>
    <xf numFmtId="43" fontId="10" fillId="0" borderId="27" xfId="39" applyFont="1" applyBorder="1" applyAlignment="1">
      <alignment horizontal="center"/>
    </xf>
    <xf numFmtId="43" fontId="11" fillId="0" borderId="17" xfId="39" applyNumberFormat="1" applyFont="1" applyBorder="1" applyAlignment="1">
      <alignment horizontal="center"/>
    </xf>
    <xf numFmtId="0" fontId="22" fillId="0" borderId="10" xfId="50" applyFont="1" applyBorder="1">
      <alignment/>
      <protection/>
    </xf>
    <xf numFmtId="43" fontId="10" fillId="0" borderId="29" xfId="39" applyFont="1" applyBorder="1" applyAlignment="1">
      <alignment horizontal="center"/>
    </xf>
    <xf numFmtId="43" fontId="10" fillId="0" borderId="30" xfId="39" applyFont="1" applyBorder="1" applyAlignment="1">
      <alignment horizontal="center"/>
    </xf>
    <xf numFmtId="0" fontId="10" fillId="0" borderId="31" xfId="50" applyFont="1" applyBorder="1">
      <alignment/>
      <protection/>
    </xf>
    <xf numFmtId="43" fontId="10" fillId="0" borderId="30" xfId="39" applyFont="1" applyBorder="1" applyAlignment="1" quotePrefix="1">
      <alignment horizontal="center"/>
    </xf>
    <xf numFmtId="43" fontId="11" fillId="0" borderId="27" xfId="39" applyFont="1" applyBorder="1" applyAlignment="1" quotePrefix="1">
      <alignment horizontal="center"/>
    </xf>
    <xf numFmtId="43" fontId="10" fillId="0" borderId="30" xfId="39" applyFont="1" applyBorder="1" applyAlignment="1">
      <alignment/>
    </xf>
    <xf numFmtId="43" fontId="10" fillId="0" borderId="30" xfId="39" applyNumberFormat="1" applyFont="1" applyBorder="1" applyAlignment="1">
      <alignment horizontal="center"/>
    </xf>
    <xf numFmtId="43" fontId="10" fillId="0" borderId="32" xfId="39" applyFont="1" applyBorder="1" applyAlignment="1">
      <alignment horizontal="left"/>
    </xf>
    <xf numFmtId="0" fontId="11" fillId="0" borderId="0" xfId="50" applyFont="1" applyBorder="1" applyAlignment="1">
      <alignment horizontal="left"/>
      <protection/>
    </xf>
    <xf numFmtId="43" fontId="11" fillId="0" borderId="29" xfId="39" applyFont="1" applyBorder="1" applyAlignment="1">
      <alignment horizontal="center"/>
    </xf>
    <xf numFmtId="0" fontId="11" fillId="0" borderId="10" xfId="50" applyFont="1" applyBorder="1" applyAlignment="1">
      <alignment horizontal="center"/>
      <protection/>
    </xf>
    <xf numFmtId="43" fontId="11" fillId="0" borderId="33" xfId="39" applyFont="1" applyBorder="1" applyAlignment="1">
      <alignment horizontal="center"/>
    </xf>
    <xf numFmtId="43" fontId="11" fillId="0" borderId="24" xfId="39" applyFont="1" applyBorder="1" applyAlignment="1">
      <alignment horizontal="center"/>
    </xf>
    <xf numFmtId="0" fontId="11" fillId="0" borderId="12" xfId="50" applyFont="1" applyBorder="1">
      <alignment/>
      <protection/>
    </xf>
    <xf numFmtId="43" fontId="11" fillId="0" borderId="14" xfId="39" applyFont="1" applyBorder="1" applyAlignment="1">
      <alignment horizontal="center"/>
    </xf>
    <xf numFmtId="0" fontId="11" fillId="0" borderId="0" xfId="50" applyFont="1" applyAlignment="1">
      <alignment/>
      <protection/>
    </xf>
    <xf numFmtId="0" fontId="10" fillId="33" borderId="0" xfId="50" applyFont="1" applyFill="1">
      <alignment/>
      <protection/>
    </xf>
    <xf numFmtId="43" fontId="11" fillId="0" borderId="16" xfId="39" applyFont="1" applyBorder="1" applyAlignment="1">
      <alignment horizontal="center"/>
    </xf>
    <xf numFmtId="43" fontId="11" fillId="0" borderId="34" xfId="39" applyFont="1" applyBorder="1" applyAlignment="1">
      <alignment horizontal="center"/>
    </xf>
    <xf numFmtId="0" fontId="11" fillId="0" borderId="0" xfId="50" applyFont="1">
      <alignment/>
      <protection/>
    </xf>
    <xf numFmtId="43" fontId="24" fillId="0" borderId="17" xfId="39" applyFont="1" applyBorder="1" applyAlignment="1">
      <alignment horizontal="center"/>
    </xf>
    <xf numFmtId="43" fontId="24" fillId="0" borderId="26" xfId="39" applyFont="1" applyBorder="1" applyAlignment="1">
      <alignment horizontal="center"/>
    </xf>
    <xf numFmtId="43" fontId="24" fillId="0" borderId="27" xfId="39" applyFont="1" applyBorder="1" applyAlignment="1">
      <alignment horizontal="center"/>
    </xf>
    <xf numFmtId="43" fontId="24" fillId="0" borderId="10" xfId="39" applyFont="1" applyBorder="1" applyAlignment="1">
      <alignment horizontal="center"/>
    </xf>
    <xf numFmtId="43" fontId="24" fillId="0" borderId="29" xfId="39" applyFont="1" applyBorder="1" applyAlignment="1">
      <alignment horizontal="center"/>
    </xf>
    <xf numFmtId="0" fontId="24" fillId="0" borderId="10" xfId="50" applyFont="1" applyBorder="1" applyAlignment="1">
      <alignment horizontal="center"/>
      <protection/>
    </xf>
    <xf numFmtId="43" fontId="24" fillId="0" borderId="33" xfId="39" applyFont="1" applyBorder="1" applyAlignment="1">
      <alignment horizontal="center"/>
    </xf>
    <xf numFmtId="43" fontId="24" fillId="0" borderId="20" xfId="39" applyFont="1" applyBorder="1" applyAlignment="1">
      <alignment/>
    </xf>
    <xf numFmtId="0" fontId="24" fillId="0" borderId="27" xfId="50" applyFont="1" applyBorder="1" applyAlignment="1">
      <alignment/>
      <protection/>
    </xf>
    <xf numFmtId="0" fontId="24" fillId="0" borderId="20" xfId="50" applyFont="1" applyBorder="1" applyAlignment="1">
      <alignment/>
      <protection/>
    </xf>
    <xf numFmtId="0" fontId="24" fillId="0" borderId="27" xfId="50" applyFont="1" applyBorder="1">
      <alignment/>
      <protection/>
    </xf>
    <xf numFmtId="0" fontId="24" fillId="0" borderId="20" xfId="50" applyFont="1" applyBorder="1">
      <alignment/>
      <protection/>
    </xf>
    <xf numFmtId="0" fontId="25" fillId="0" borderId="0" xfId="50" applyFont="1">
      <alignment/>
      <protection/>
    </xf>
    <xf numFmtId="43" fontId="24" fillId="0" borderId="0" xfId="39" applyFont="1" applyBorder="1" applyAlignment="1">
      <alignment horizontal="center"/>
    </xf>
    <xf numFmtId="0" fontId="24" fillId="0" borderId="0" xfId="50" applyFont="1" applyBorder="1">
      <alignment/>
      <protection/>
    </xf>
    <xf numFmtId="0" fontId="25" fillId="0" borderId="0" xfId="50" applyFont="1" applyBorder="1">
      <alignment/>
      <protection/>
    </xf>
    <xf numFmtId="43" fontId="25" fillId="0" borderId="0" xfId="39" applyFont="1" applyBorder="1" applyAlignment="1">
      <alignment horizontal="center"/>
    </xf>
    <xf numFmtId="43" fontId="25" fillId="0" borderId="0" xfId="39" applyNumberFormat="1" applyFont="1" applyBorder="1" applyAlignment="1" quotePrefix="1">
      <alignment horizontal="center"/>
    </xf>
    <xf numFmtId="43" fontId="25" fillId="0" borderId="0" xfId="39" applyFont="1" applyBorder="1" applyAlignment="1" quotePrefix="1">
      <alignment horizontal="center"/>
    </xf>
    <xf numFmtId="43" fontId="24" fillId="0" borderId="0" xfId="39" applyFont="1" applyBorder="1" applyAlignment="1">
      <alignment/>
    </xf>
    <xf numFmtId="0" fontId="24" fillId="0" borderId="0" xfId="50" applyFont="1" applyBorder="1" applyAlignment="1">
      <alignment/>
      <protection/>
    </xf>
    <xf numFmtId="0" fontId="26" fillId="0" borderId="11" xfId="50" applyFont="1" applyBorder="1">
      <alignment/>
      <protection/>
    </xf>
    <xf numFmtId="43" fontId="25" fillId="0" borderId="11" xfId="39" applyFont="1" applyBorder="1" applyAlignment="1">
      <alignment horizontal="center"/>
    </xf>
    <xf numFmtId="43" fontId="25" fillId="0" borderId="28" xfId="39" applyFont="1" applyBorder="1" applyAlignment="1">
      <alignment horizontal="center"/>
    </xf>
    <xf numFmtId="43" fontId="24" fillId="0" borderId="12" xfId="39" applyFont="1" applyBorder="1" applyAlignment="1">
      <alignment horizontal="center"/>
    </xf>
    <xf numFmtId="43" fontId="24" fillId="0" borderId="24" xfId="39" applyFont="1" applyBorder="1" applyAlignment="1">
      <alignment horizontal="center"/>
    </xf>
    <xf numFmtId="0" fontId="24" fillId="0" borderId="12" xfId="50" applyFont="1" applyBorder="1">
      <alignment/>
      <protection/>
    </xf>
    <xf numFmtId="43" fontId="24" fillId="0" borderId="14" xfId="39" applyFont="1" applyBorder="1" applyAlignment="1">
      <alignment horizontal="center"/>
    </xf>
    <xf numFmtId="0" fontId="24" fillId="0" borderId="17" xfId="50" applyFont="1" applyBorder="1" applyAlignment="1">
      <alignment horizontal="center"/>
      <protection/>
    </xf>
    <xf numFmtId="0" fontId="24" fillId="0" borderId="17" xfId="50" applyFont="1" applyBorder="1" applyAlignment="1">
      <alignment/>
      <protection/>
    </xf>
    <xf numFmtId="0" fontId="24" fillId="0" borderId="0" xfId="50" applyFont="1" applyBorder="1" applyAlignment="1">
      <alignment horizontal="center"/>
      <protection/>
    </xf>
    <xf numFmtId="0" fontId="11" fillId="33" borderId="0" xfId="50" applyFont="1" applyFill="1" applyAlignment="1">
      <alignment horizontal="center"/>
      <protection/>
    </xf>
    <xf numFmtId="0" fontId="11" fillId="33" borderId="24" xfId="50" applyFont="1" applyFill="1" applyBorder="1" applyAlignment="1">
      <alignment horizontal="center"/>
      <protection/>
    </xf>
    <xf numFmtId="43" fontId="24" fillId="33" borderId="10" xfId="39" applyFont="1" applyFill="1" applyBorder="1" applyAlignment="1">
      <alignment horizontal="center"/>
    </xf>
    <xf numFmtId="43" fontId="24" fillId="33" borderId="12" xfId="39" applyFont="1" applyFill="1" applyBorder="1" applyAlignment="1">
      <alignment horizontal="center"/>
    </xf>
    <xf numFmtId="43" fontId="10" fillId="33" borderId="11" xfId="39" applyFont="1" applyFill="1" applyBorder="1" applyAlignment="1">
      <alignment horizontal="center"/>
    </xf>
    <xf numFmtId="43" fontId="10" fillId="33" borderId="11" xfId="39" applyFont="1" applyFill="1" applyBorder="1" applyAlignment="1" quotePrefix="1">
      <alignment horizontal="center"/>
    </xf>
    <xf numFmtId="43" fontId="11" fillId="33" borderId="11" xfId="39" applyFont="1" applyFill="1" applyBorder="1" applyAlignment="1" quotePrefix="1">
      <alignment horizontal="center"/>
    </xf>
    <xf numFmtId="43" fontId="11" fillId="33" borderId="17" xfId="39" applyFont="1" applyFill="1" applyBorder="1" applyAlignment="1">
      <alignment horizontal="center"/>
    </xf>
    <xf numFmtId="43" fontId="11" fillId="33" borderId="10" xfId="39" applyFont="1" applyFill="1" applyBorder="1" applyAlignment="1">
      <alignment horizontal="center"/>
    </xf>
    <xf numFmtId="43" fontId="11" fillId="33" borderId="12" xfId="39" applyFont="1" applyFill="1" applyBorder="1" applyAlignment="1">
      <alignment horizontal="center"/>
    </xf>
    <xf numFmtId="43" fontId="10" fillId="33" borderId="17" xfId="39" applyFont="1" applyFill="1" applyBorder="1" applyAlignment="1">
      <alignment horizontal="center"/>
    </xf>
    <xf numFmtId="0" fontId="4" fillId="33" borderId="0" xfId="49" applyFont="1" applyFill="1" applyBorder="1" applyAlignment="1">
      <alignment horizontal="center"/>
      <protection/>
    </xf>
    <xf numFmtId="0" fontId="2" fillId="33" borderId="0" xfId="49" applyFill="1" applyBorder="1">
      <alignment/>
      <protection/>
    </xf>
    <xf numFmtId="43" fontId="2" fillId="33" borderId="0" xfId="49" applyNumberFormat="1" applyFill="1" applyBorder="1">
      <alignment/>
      <protection/>
    </xf>
    <xf numFmtId="0" fontId="4" fillId="33" borderId="0" xfId="49" applyFont="1" applyFill="1">
      <alignment/>
      <protection/>
    </xf>
    <xf numFmtId="3" fontId="27" fillId="0" borderId="0" xfId="50" applyNumberFormat="1" applyFont="1" applyAlignment="1">
      <alignment horizontal="right" vertical="center"/>
      <protection/>
    </xf>
    <xf numFmtId="0" fontId="2" fillId="0" borderId="0" xfId="50">
      <alignment/>
      <protection/>
    </xf>
    <xf numFmtId="3" fontId="28" fillId="0" borderId="0" xfId="50" applyNumberFormat="1" applyFont="1" applyAlignment="1">
      <alignment horizontal="center" vertical="center"/>
      <protection/>
    </xf>
    <xf numFmtId="3" fontId="29" fillId="0" borderId="0" xfId="50" applyNumberFormat="1" applyFont="1" applyAlignment="1">
      <alignment horizontal="center" vertical="center"/>
      <protection/>
    </xf>
    <xf numFmtId="3" fontId="29" fillId="0" borderId="0" xfId="50" applyNumberFormat="1" applyFont="1" applyBorder="1" applyAlignment="1">
      <alignment horizontal="center" vertical="center"/>
      <protection/>
    </xf>
    <xf numFmtId="0" fontId="9" fillId="0" borderId="35" xfId="50" applyFont="1" applyBorder="1" applyAlignment="1">
      <alignment horizontal="center" vertical="center"/>
      <protection/>
    </xf>
    <xf numFmtId="49" fontId="9" fillId="0" borderId="25" xfId="50" applyNumberFormat="1" applyFont="1" applyBorder="1" applyAlignment="1">
      <alignment horizontal="center" vertical="center"/>
      <protection/>
    </xf>
    <xf numFmtId="0" fontId="9" fillId="0" borderId="36" xfId="50" applyFont="1" applyBorder="1" applyAlignment="1">
      <alignment horizontal="center" vertical="center"/>
      <protection/>
    </xf>
    <xf numFmtId="49" fontId="7" fillId="0" borderId="21" xfId="50" applyNumberFormat="1" applyFont="1" applyBorder="1" applyAlignment="1">
      <alignment horizontal="center" vertical="center"/>
      <protection/>
    </xf>
    <xf numFmtId="43" fontId="7" fillId="0" borderId="21" xfId="50" applyNumberFormat="1" applyFont="1" applyBorder="1" applyAlignment="1">
      <alignment vertical="center"/>
      <protection/>
    </xf>
    <xf numFmtId="0" fontId="30" fillId="0" borderId="37" xfId="50" applyFont="1" applyBorder="1" applyAlignment="1">
      <alignment vertical="center"/>
      <protection/>
    </xf>
    <xf numFmtId="49" fontId="9" fillId="0" borderId="37" xfId="50" applyNumberFormat="1" applyFont="1" applyBorder="1" applyAlignment="1">
      <alignment vertical="center"/>
      <protection/>
    </xf>
    <xf numFmtId="0" fontId="9" fillId="0" borderId="37" xfId="50" applyFont="1" applyBorder="1" applyAlignment="1">
      <alignment vertical="center"/>
      <protection/>
    </xf>
    <xf numFmtId="49" fontId="9" fillId="0" borderId="38" xfId="50" applyNumberFormat="1" applyFont="1" applyBorder="1" applyAlignment="1">
      <alignment horizontal="center" vertical="center"/>
      <protection/>
    </xf>
    <xf numFmtId="43" fontId="9" fillId="0" borderId="38" xfId="50" applyNumberFormat="1" applyFont="1" applyBorder="1" applyAlignment="1">
      <alignment vertical="center"/>
      <protection/>
    </xf>
    <xf numFmtId="43" fontId="9" fillId="0" borderId="37" xfId="50" applyNumberFormat="1" applyFont="1" applyBorder="1" applyAlignment="1">
      <alignment vertical="center"/>
      <protection/>
    </xf>
    <xf numFmtId="0" fontId="9" fillId="0" borderId="39" xfId="50" applyFont="1" applyBorder="1" applyAlignment="1">
      <alignment vertical="center"/>
      <protection/>
    </xf>
    <xf numFmtId="49" fontId="30" fillId="0" borderId="0" xfId="50" applyNumberFormat="1" applyFont="1" applyBorder="1" applyAlignment="1">
      <alignment vertical="center"/>
      <protection/>
    </xf>
    <xf numFmtId="0" fontId="9" fillId="0" borderId="13" xfId="50" applyFont="1" applyBorder="1" applyAlignment="1">
      <alignment vertical="center"/>
      <protection/>
    </xf>
    <xf numFmtId="49" fontId="30" fillId="0" borderId="37" xfId="50" applyNumberFormat="1" applyFont="1" applyBorder="1" applyAlignment="1">
      <alignment horizontal="center" vertical="center"/>
      <protection/>
    </xf>
    <xf numFmtId="43" fontId="30" fillId="0" borderId="37" xfId="50" applyNumberFormat="1" applyFont="1" applyBorder="1" applyAlignment="1">
      <alignment vertical="center"/>
      <protection/>
    </xf>
    <xf numFmtId="49" fontId="9" fillId="0" borderId="0" xfId="50" applyNumberFormat="1" applyFont="1" applyBorder="1" applyAlignment="1">
      <alignment vertical="center"/>
      <protection/>
    </xf>
    <xf numFmtId="49" fontId="9" fillId="0" borderId="37" xfId="50" applyNumberFormat="1" applyFont="1" applyBorder="1" applyAlignment="1">
      <alignment horizontal="center" vertical="center"/>
      <protection/>
    </xf>
    <xf numFmtId="43" fontId="9" fillId="0" borderId="37" xfId="50" applyNumberFormat="1" applyFont="1" applyBorder="1" applyAlignment="1">
      <alignment horizontal="center" vertical="center"/>
      <protection/>
    </xf>
    <xf numFmtId="43" fontId="9" fillId="0" borderId="37" xfId="50" applyNumberFormat="1" applyFont="1" applyBorder="1" applyAlignment="1">
      <alignment horizontal="right" vertical="center"/>
      <protection/>
    </xf>
    <xf numFmtId="0" fontId="7" fillId="0" borderId="13" xfId="50" applyFont="1" applyBorder="1" applyAlignment="1">
      <alignment horizontal="right" vertical="center"/>
      <protection/>
    </xf>
    <xf numFmtId="43" fontId="7" fillId="0" borderId="21" xfId="50" applyNumberFormat="1" applyFont="1" applyBorder="1" applyAlignment="1">
      <alignment vertical="center"/>
      <protection/>
    </xf>
    <xf numFmtId="43" fontId="7" fillId="0" borderId="21" xfId="50" applyNumberFormat="1" applyFont="1" applyBorder="1" applyAlignment="1">
      <alignment horizontal="right" vertical="center"/>
      <protection/>
    </xf>
    <xf numFmtId="0" fontId="9" fillId="0" borderId="37" xfId="50" applyNumberFormat="1" applyFont="1" applyBorder="1" applyAlignment="1">
      <alignment horizontal="center" vertical="center"/>
      <protection/>
    </xf>
    <xf numFmtId="0" fontId="9" fillId="0" borderId="40" xfId="50" applyFont="1" applyBorder="1" applyAlignment="1">
      <alignment vertical="center"/>
      <protection/>
    </xf>
    <xf numFmtId="49" fontId="9" fillId="0" borderId="23" xfId="50" applyNumberFormat="1" applyFont="1" applyBorder="1" applyAlignment="1">
      <alignment vertical="center"/>
      <protection/>
    </xf>
    <xf numFmtId="0" fontId="9" fillId="0" borderId="41" xfId="50" applyFont="1" applyBorder="1" applyAlignment="1">
      <alignment vertical="center"/>
      <protection/>
    </xf>
    <xf numFmtId="49" fontId="9" fillId="0" borderId="42" xfId="50" applyNumberFormat="1" applyFont="1" applyBorder="1" applyAlignment="1">
      <alignment horizontal="center" vertical="center"/>
      <protection/>
    </xf>
    <xf numFmtId="43" fontId="9" fillId="0" borderId="42" xfId="50" applyNumberFormat="1" applyFont="1" applyBorder="1" applyAlignment="1">
      <alignment horizontal="right" vertical="center"/>
      <protection/>
    </xf>
    <xf numFmtId="43" fontId="9" fillId="0" borderId="42" xfId="50" applyNumberFormat="1" applyFont="1" applyBorder="1" applyAlignment="1">
      <alignment horizontal="center" vertical="center"/>
      <protection/>
    </xf>
    <xf numFmtId="43" fontId="7" fillId="0" borderId="21" xfId="50" applyNumberFormat="1" applyFont="1" applyBorder="1" applyAlignment="1">
      <alignment horizontal="center" vertical="center"/>
      <protection/>
    </xf>
    <xf numFmtId="0" fontId="9" fillId="0" borderId="43" xfId="50" applyFont="1" applyBorder="1" applyAlignment="1">
      <alignment vertical="center"/>
      <protection/>
    </xf>
    <xf numFmtId="49" fontId="9" fillId="0" borderId="34" xfId="50" applyNumberFormat="1" applyFont="1" applyBorder="1" applyAlignment="1">
      <alignment vertical="center"/>
      <protection/>
    </xf>
    <xf numFmtId="43" fontId="9" fillId="0" borderId="38" xfId="50" applyNumberFormat="1" applyFont="1" applyBorder="1" applyAlignment="1">
      <alignment horizontal="right" vertical="center"/>
      <protection/>
    </xf>
    <xf numFmtId="49" fontId="9" fillId="0" borderId="0" xfId="50" applyNumberFormat="1" applyFont="1" applyBorder="1" applyAlignment="1">
      <alignment horizontal="center" vertical="center"/>
      <protection/>
    </xf>
    <xf numFmtId="49" fontId="9" fillId="0" borderId="13" xfId="50" applyNumberFormat="1" applyFont="1" applyBorder="1" applyAlignment="1">
      <alignment vertical="center"/>
      <protection/>
    </xf>
    <xf numFmtId="0" fontId="7" fillId="0" borderId="41" xfId="50" applyFont="1" applyBorder="1" applyAlignment="1">
      <alignment horizontal="right" vertical="center"/>
      <protection/>
    </xf>
    <xf numFmtId="0" fontId="9" fillId="0" borderId="34" xfId="50" applyFont="1" applyBorder="1" applyAlignment="1">
      <alignment vertical="center"/>
      <protection/>
    </xf>
    <xf numFmtId="0" fontId="9" fillId="0" borderId="34" xfId="50" applyFont="1" applyBorder="1" applyAlignment="1">
      <alignment horizontal="right" vertical="center"/>
      <protection/>
    </xf>
    <xf numFmtId="49" fontId="9" fillId="0" borderId="34" xfId="50" applyNumberFormat="1" applyFont="1" applyBorder="1" applyAlignment="1">
      <alignment horizontal="center" vertical="center"/>
      <protection/>
    </xf>
    <xf numFmtId="43" fontId="9" fillId="0" borderId="34" xfId="50" applyNumberFormat="1" applyFont="1" applyBorder="1" applyAlignment="1">
      <alignment vertical="center"/>
      <protection/>
    </xf>
    <xf numFmtId="49" fontId="30" fillId="0" borderId="34" xfId="50" applyNumberFormat="1" applyFont="1" applyBorder="1" applyAlignment="1">
      <alignment vertical="center"/>
      <protection/>
    </xf>
    <xf numFmtId="43" fontId="30" fillId="0" borderId="37" xfId="50" applyNumberFormat="1" applyFont="1" applyBorder="1" applyAlignment="1">
      <alignment horizontal="right" vertical="center"/>
      <protection/>
    </xf>
    <xf numFmtId="43" fontId="30" fillId="0" borderId="37" xfId="50" applyNumberFormat="1" applyFont="1" applyBorder="1" applyAlignment="1">
      <alignment horizontal="center" vertical="center"/>
      <protection/>
    </xf>
    <xf numFmtId="43" fontId="7" fillId="0" borderId="21" xfId="50" applyNumberFormat="1" applyFont="1" applyBorder="1" applyAlignment="1">
      <alignment horizontal="center" vertical="center"/>
      <protection/>
    </xf>
    <xf numFmtId="0" fontId="30" fillId="0" borderId="39" xfId="50" applyFont="1" applyBorder="1" applyAlignment="1">
      <alignment vertical="center"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Border="1" applyAlignment="1">
      <alignment horizontal="right" vertical="center"/>
      <protection/>
    </xf>
    <xf numFmtId="43" fontId="9" fillId="0" borderId="0" xfId="50" applyNumberFormat="1" applyFont="1" applyBorder="1" applyAlignment="1">
      <alignment vertical="center"/>
      <protection/>
    </xf>
    <xf numFmtId="43" fontId="9" fillId="0" borderId="0" xfId="50" applyNumberFormat="1" applyFont="1" applyBorder="1" applyAlignment="1">
      <alignment horizontal="center" vertical="center"/>
      <protection/>
    </xf>
    <xf numFmtId="0" fontId="9" fillId="0" borderId="25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right" vertical="center"/>
      <protection/>
    </xf>
    <xf numFmtId="0" fontId="7" fillId="0" borderId="23" xfId="50" applyFont="1" applyBorder="1" applyAlignment="1">
      <alignment horizontal="right" vertical="center"/>
      <protection/>
    </xf>
    <xf numFmtId="0" fontId="7" fillId="0" borderId="0" xfId="50" applyFont="1" applyBorder="1" applyAlignment="1">
      <alignment horizontal="right" vertical="center"/>
      <protection/>
    </xf>
    <xf numFmtId="49" fontId="7" fillId="0" borderId="44" xfId="50" applyNumberFormat="1" applyFont="1" applyBorder="1" applyAlignment="1">
      <alignment horizontal="center" vertical="center"/>
      <protection/>
    </xf>
    <xf numFmtId="43" fontId="7" fillId="0" borderId="44" xfId="50" applyNumberFormat="1" applyFont="1" applyBorder="1" applyAlignment="1">
      <alignment horizontal="right" vertical="center"/>
      <protection/>
    </xf>
    <xf numFmtId="0" fontId="9" fillId="0" borderId="0" xfId="50" applyFont="1">
      <alignment/>
      <protection/>
    </xf>
    <xf numFmtId="49" fontId="9" fillId="0" borderId="0" xfId="50" applyNumberFormat="1" applyFont="1">
      <alignment/>
      <protection/>
    </xf>
    <xf numFmtId="49" fontId="9" fillId="0" borderId="0" xfId="50" applyNumberFormat="1" applyFont="1" applyAlignment="1">
      <alignment horizontal="center"/>
      <protection/>
    </xf>
    <xf numFmtId="43" fontId="9" fillId="0" borderId="0" xfId="50" applyNumberFormat="1" applyFont="1">
      <alignment/>
      <protection/>
    </xf>
    <xf numFmtId="3" fontId="31" fillId="0" borderId="0" xfId="50" applyNumberFormat="1" applyFont="1" applyBorder="1" applyAlignment="1">
      <alignment horizontal="center" vertical="center"/>
      <protection/>
    </xf>
    <xf numFmtId="43" fontId="9" fillId="0" borderId="39" xfId="50" applyNumberFormat="1" applyFont="1" applyBorder="1" applyAlignment="1">
      <alignment vertical="center"/>
      <protection/>
    </xf>
    <xf numFmtId="43" fontId="30" fillId="0" borderId="0" xfId="50" applyNumberFormat="1" applyFont="1" applyBorder="1" applyAlignment="1">
      <alignment vertical="center"/>
      <protection/>
    </xf>
    <xf numFmtId="43" fontId="30" fillId="0" borderId="39" xfId="50" applyNumberFormat="1" applyFont="1" applyBorder="1" applyAlignment="1">
      <alignment vertical="center"/>
      <protection/>
    </xf>
    <xf numFmtId="43" fontId="7" fillId="0" borderId="35" xfId="50" applyNumberFormat="1" applyFont="1" applyBorder="1" applyAlignment="1">
      <alignment vertical="center"/>
      <protection/>
    </xf>
    <xf numFmtId="43" fontId="9" fillId="0" borderId="39" xfId="50" applyNumberFormat="1" applyFont="1" applyBorder="1" applyAlignment="1">
      <alignment horizontal="center" vertical="center"/>
      <protection/>
    </xf>
    <xf numFmtId="43" fontId="9" fillId="0" borderId="39" xfId="50" applyNumberFormat="1" applyFont="1" applyBorder="1" applyAlignment="1">
      <alignment horizontal="right" vertical="center"/>
      <protection/>
    </xf>
    <xf numFmtId="43" fontId="7" fillId="0" borderId="39" xfId="50" applyNumberFormat="1" applyFont="1" applyBorder="1" applyAlignment="1">
      <alignment horizontal="right" vertical="center"/>
      <protection/>
    </xf>
    <xf numFmtId="0" fontId="9" fillId="0" borderId="39" xfId="50" applyNumberFormat="1" applyFont="1" applyBorder="1" applyAlignment="1">
      <alignment horizontal="center" vertical="center"/>
      <protection/>
    </xf>
    <xf numFmtId="43" fontId="9" fillId="0" borderId="40" xfId="50" applyNumberFormat="1" applyFont="1" applyBorder="1" applyAlignment="1">
      <alignment horizontal="center" vertical="center"/>
      <protection/>
    </xf>
    <xf numFmtId="43" fontId="7" fillId="0" borderId="35" xfId="50" applyNumberFormat="1" applyFont="1" applyBorder="1" applyAlignment="1">
      <alignment horizontal="center" vertical="center"/>
      <protection/>
    </xf>
    <xf numFmtId="43" fontId="9" fillId="0" borderId="43" xfId="50" applyNumberFormat="1" applyFont="1" applyBorder="1" applyAlignment="1">
      <alignment horizontal="right" vertical="center"/>
      <protection/>
    </xf>
    <xf numFmtId="43" fontId="7" fillId="0" borderId="39" xfId="50" applyNumberFormat="1" applyFont="1" applyBorder="1" applyAlignment="1">
      <alignment vertical="center"/>
      <protection/>
    </xf>
    <xf numFmtId="43" fontId="7" fillId="0" borderId="40" xfId="50" applyNumberFormat="1" applyFont="1" applyBorder="1" applyAlignment="1">
      <alignment vertical="center"/>
      <protection/>
    </xf>
    <xf numFmtId="43" fontId="30" fillId="0" borderId="39" xfId="50" applyNumberFormat="1" applyFont="1" applyBorder="1" applyAlignment="1">
      <alignment horizontal="center" vertical="center"/>
      <protection/>
    </xf>
    <xf numFmtId="43" fontId="7" fillId="0" borderId="39" xfId="50" applyNumberFormat="1" applyFont="1" applyBorder="1" applyAlignment="1">
      <alignment horizontal="center" vertical="center"/>
      <protection/>
    </xf>
    <xf numFmtId="43" fontId="7" fillId="0" borderId="40" xfId="50" applyNumberFormat="1" applyFont="1" applyBorder="1" applyAlignment="1">
      <alignment horizontal="right" vertical="center"/>
      <protection/>
    </xf>
    <xf numFmtId="43" fontId="7" fillId="0" borderId="40" xfId="50" applyNumberFormat="1" applyFont="1" applyBorder="1" applyAlignment="1">
      <alignment horizontal="center" vertical="center"/>
      <protection/>
    </xf>
    <xf numFmtId="43" fontId="7" fillId="0" borderId="0" xfId="50" applyNumberFormat="1" applyFont="1" applyBorder="1" applyAlignment="1">
      <alignment horizontal="right" vertical="center"/>
      <protection/>
    </xf>
    <xf numFmtId="43" fontId="7" fillId="0" borderId="0" xfId="50" applyNumberFormat="1" applyFont="1" applyBorder="1" applyAlignment="1">
      <alignment vertical="center"/>
      <protection/>
    </xf>
    <xf numFmtId="43" fontId="9" fillId="0" borderId="0" xfId="50" applyNumberFormat="1" applyFont="1" applyBorder="1" applyAlignment="1">
      <alignment horizontal="right" vertical="center"/>
      <protection/>
    </xf>
    <xf numFmtId="43" fontId="7" fillId="0" borderId="0" xfId="50" applyNumberFormat="1" applyFont="1" applyBorder="1" applyAlignment="1">
      <alignment horizontal="right" vertical="center"/>
      <protection/>
    </xf>
    <xf numFmtId="43" fontId="7" fillId="0" borderId="0" xfId="50" applyNumberFormat="1" applyFont="1" applyBorder="1" applyAlignment="1">
      <alignment horizontal="center" vertical="center"/>
      <protection/>
    </xf>
    <xf numFmtId="43" fontId="7" fillId="0" borderId="0" xfId="50" applyNumberFormat="1" applyFont="1" applyBorder="1" applyAlignment="1">
      <alignment vertical="center"/>
      <protection/>
    </xf>
    <xf numFmtId="43" fontId="30" fillId="0" borderId="0" xfId="50" applyNumberFormat="1" applyFont="1" applyBorder="1" applyAlignment="1">
      <alignment horizontal="center" vertical="center"/>
      <protection/>
    </xf>
    <xf numFmtId="43" fontId="7" fillId="0" borderId="0" xfId="50" applyNumberFormat="1" applyFont="1" applyBorder="1" applyAlignment="1">
      <alignment horizontal="center" vertical="center"/>
      <protection/>
    </xf>
    <xf numFmtId="0" fontId="8" fillId="33" borderId="0" xfId="49" applyFont="1" applyFill="1" applyBorder="1">
      <alignment/>
      <protection/>
    </xf>
    <xf numFmtId="43" fontId="9" fillId="33" borderId="0" xfId="38" applyNumberFormat="1" applyFont="1" applyFill="1" applyBorder="1" applyAlignment="1">
      <alignment horizontal="center"/>
    </xf>
    <xf numFmtId="43" fontId="9" fillId="33" borderId="0" xfId="49" applyNumberFormat="1" applyFont="1" applyFill="1" applyBorder="1">
      <alignment/>
      <protection/>
    </xf>
    <xf numFmtId="189" fontId="100" fillId="0" borderId="0" xfId="40" applyNumberFormat="1" applyFont="1" applyAlignment="1" applyProtection="1">
      <alignment/>
      <protection/>
    </xf>
    <xf numFmtId="188" fontId="100" fillId="0" borderId="0" xfId="40" applyNumberFormat="1" applyFont="1" applyAlignment="1" applyProtection="1">
      <alignment/>
      <protection/>
    </xf>
    <xf numFmtId="189" fontId="34" fillId="0" borderId="43" xfId="40" applyNumberFormat="1" applyFont="1" applyBorder="1" applyAlignment="1" applyProtection="1">
      <alignment horizontal="center"/>
      <protection/>
    </xf>
    <xf numFmtId="49" fontId="4" fillId="0" borderId="21" xfId="40" applyNumberFormat="1" applyFont="1" applyBorder="1" applyAlignment="1" applyProtection="1">
      <alignment horizontal="center"/>
      <protection/>
    </xf>
    <xf numFmtId="189" fontId="34" fillId="0" borderId="45" xfId="40" applyNumberFormat="1" applyFont="1" applyBorder="1" applyAlignment="1" applyProtection="1">
      <alignment/>
      <protection/>
    </xf>
    <xf numFmtId="189" fontId="32" fillId="0" borderId="45" xfId="40" applyNumberFormat="1" applyFont="1" applyBorder="1" applyAlignment="1" applyProtection="1">
      <alignment horizontal="center"/>
      <protection/>
    </xf>
    <xf numFmtId="189" fontId="32" fillId="0" borderId="39" xfId="40" applyNumberFormat="1" applyFont="1" applyBorder="1" applyAlignment="1" applyProtection="1">
      <alignment/>
      <protection/>
    </xf>
    <xf numFmtId="189" fontId="32" fillId="0" borderId="13" xfId="40" applyNumberFormat="1" applyFont="1" applyBorder="1" applyAlignment="1" applyProtection="1">
      <alignment horizontal="right"/>
      <protection/>
    </xf>
    <xf numFmtId="189" fontId="4" fillId="0" borderId="38" xfId="40" applyNumberFormat="1" applyFont="1" applyBorder="1" applyAlignment="1" applyProtection="1">
      <alignment horizontal="center"/>
      <protection/>
    </xf>
    <xf numFmtId="189" fontId="33" fillId="0" borderId="38" xfId="40" applyNumberFormat="1" applyFont="1" applyBorder="1" applyAlignment="1" applyProtection="1">
      <alignment horizontal="center"/>
      <protection/>
    </xf>
    <xf numFmtId="189" fontId="8" fillId="0" borderId="38" xfId="40" applyNumberFormat="1" applyFont="1" applyBorder="1" applyAlignment="1" applyProtection="1">
      <alignment horizontal="center"/>
      <protection/>
    </xf>
    <xf numFmtId="189" fontId="35" fillId="0" borderId="38" xfId="40" applyNumberFormat="1" applyFont="1" applyBorder="1" applyAlignment="1" applyProtection="1">
      <alignment horizontal="center"/>
      <protection/>
    </xf>
    <xf numFmtId="189" fontId="35" fillId="0" borderId="43" xfId="40" applyNumberFormat="1" applyFont="1" applyBorder="1" applyAlignment="1" applyProtection="1">
      <alignment horizontal="center"/>
      <protection/>
    </xf>
    <xf numFmtId="189" fontId="4" fillId="0" borderId="43" xfId="40" applyNumberFormat="1" applyFont="1" applyBorder="1" applyAlignment="1" applyProtection="1">
      <alignment horizontal="center"/>
      <protection/>
    </xf>
    <xf numFmtId="189" fontId="32" fillId="0" borderId="38" xfId="40" applyNumberFormat="1" applyFont="1" applyBorder="1" applyAlignment="1" applyProtection="1">
      <alignment horizontal="center"/>
      <protection/>
    </xf>
    <xf numFmtId="189" fontId="101" fillId="0" borderId="39" xfId="40" applyNumberFormat="1" applyFont="1" applyBorder="1" applyAlignment="1" applyProtection="1">
      <alignment/>
      <protection/>
    </xf>
    <xf numFmtId="189" fontId="101" fillId="0" borderId="13" xfId="40" applyNumberFormat="1" applyFont="1" applyBorder="1" applyAlignment="1" applyProtection="1">
      <alignment/>
      <protection/>
    </xf>
    <xf numFmtId="189" fontId="34" fillId="0" borderId="37" xfId="40" applyNumberFormat="1" applyFont="1" applyBorder="1" applyAlignment="1" applyProtection="1">
      <alignment horizontal="center"/>
      <protection/>
    </xf>
    <xf numFmtId="189" fontId="33" fillId="0" borderId="37" xfId="40" applyNumberFormat="1" applyFont="1" applyBorder="1" applyAlignment="1" applyProtection="1">
      <alignment horizontal="center"/>
      <protection/>
    </xf>
    <xf numFmtId="189" fontId="35" fillId="0" borderId="37" xfId="40" applyNumberFormat="1" applyFont="1" applyBorder="1" applyAlignment="1" applyProtection="1">
      <alignment horizontal="center"/>
      <protection/>
    </xf>
    <xf numFmtId="189" fontId="4" fillId="0" borderId="37" xfId="40" applyNumberFormat="1" applyFont="1" applyBorder="1" applyAlignment="1" applyProtection="1">
      <alignment horizontal="center"/>
      <protection/>
    </xf>
    <xf numFmtId="189" fontId="8" fillId="0" borderId="37" xfId="40" applyNumberFormat="1" applyFont="1" applyBorder="1" applyAlignment="1" applyProtection="1">
      <alignment horizontal="center"/>
      <protection/>
    </xf>
    <xf numFmtId="189" fontId="35" fillId="0" borderId="39" xfId="40" applyNumberFormat="1" applyFont="1" applyBorder="1" applyAlignment="1" applyProtection="1">
      <alignment horizontal="center"/>
      <protection/>
    </xf>
    <xf numFmtId="189" fontId="4" fillId="0" borderId="39" xfId="40" applyNumberFormat="1" applyFont="1" applyBorder="1" applyAlignment="1" applyProtection="1">
      <alignment horizontal="center"/>
      <protection/>
    </xf>
    <xf numFmtId="189" fontId="9" fillId="0" borderId="39" xfId="40" applyNumberFormat="1" applyFont="1" applyBorder="1" applyAlignment="1" applyProtection="1">
      <alignment horizontal="center"/>
      <protection/>
    </xf>
    <xf numFmtId="189" fontId="9" fillId="0" borderId="37" xfId="40" applyNumberFormat="1" applyFont="1" applyBorder="1" applyAlignment="1" applyProtection="1">
      <alignment horizontal="center"/>
      <protection/>
    </xf>
    <xf numFmtId="49" fontId="4" fillId="0" borderId="42" xfId="40" applyNumberFormat="1" applyFont="1" applyBorder="1" applyAlignment="1" applyProtection="1">
      <alignment horizontal="center"/>
      <protection/>
    </xf>
    <xf numFmtId="49" fontId="4" fillId="0" borderId="40" xfId="40" applyNumberFormat="1" applyFont="1" applyBorder="1" applyAlignment="1" applyProtection="1">
      <alignment horizontal="center"/>
      <protection/>
    </xf>
    <xf numFmtId="189" fontId="27" fillId="0" borderId="40" xfId="40" applyNumberFormat="1" applyFont="1" applyBorder="1" applyAlignment="1">
      <alignment/>
    </xf>
    <xf numFmtId="189" fontId="4" fillId="0" borderId="41" xfId="40" applyNumberFormat="1" applyFont="1" applyBorder="1" applyAlignment="1">
      <alignment/>
    </xf>
    <xf numFmtId="189" fontId="100" fillId="0" borderId="21" xfId="40" applyNumberFormat="1" applyFont="1" applyBorder="1" applyAlignment="1">
      <alignment/>
    </xf>
    <xf numFmtId="188" fontId="100" fillId="0" borderId="0" xfId="40" applyNumberFormat="1" applyFont="1" applyAlignment="1">
      <alignment/>
    </xf>
    <xf numFmtId="189" fontId="100" fillId="0" borderId="0" xfId="40" applyNumberFormat="1" applyFont="1" applyAlignment="1">
      <alignment/>
    </xf>
    <xf numFmtId="189" fontId="4" fillId="0" borderId="35" xfId="40" applyNumberFormat="1" applyFont="1" applyBorder="1" applyAlignment="1">
      <alignment/>
    </xf>
    <xf numFmtId="189" fontId="4" fillId="0" borderId="36" xfId="40" applyNumberFormat="1" applyFont="1" applyBorder="1" applyAlignment="1">
      <alignment/>
    </xf>
    <xf numFmtId="188" fontId="100" fillId="0" borderId="21" xfId="40" applyNumberFormat="1" applyFont="1" applyBorder="1" applyAlignment="1">
      <alignment/>
    </xf>
    <xf numFmtId="188" fontId="4" fillId="0" borderId="35" xfId="40" applyNumberFormat="1" applyFont="1" applyBorder="1" applyAlignment="1">
      <alignment/>
    </xf>
    <xf numFmtId="188" fontId="4" fillId="0" borderId="36" xfId="40" applyNumberFormat="1" applyFont="1" applyBorder="1" applyAlignment="1">
      <alignment horizontal="right"/>
    </xf>
    <xf numFmtId="188" fontId="102" fillId="0" borderId="21" xfId="40" applyNumberFormat="1" applyFont="1" applyBorder="1" applyAlignment="1">
      <alignment/>
    </xf>
    <xf numFmtId="188" fontId="4" fillId="10" borderId="35" xfId="40" applyNumberFormat="1" applyFont="1" applyFill="1" applyBorder="1" applyAlignment="1">
      <alignment/>
    </xf>
    <xf numFmtId="188" fontId="4" fillId="10" borderId="36" xfId="40" applyNumberFormat="1" applyFont="1" applyFill="1" applyBorder="1" applyAlignment="1">
      <alignment horizontal="right"/>
    </xf>
    <xf numFmtId="188" fontId="100" fillId="10" borderId="21" xfId="40" applyNumberFormat="1" applyFont="1" applyFill="1" applyBorder="1" applyAlignment="1">
      <alignment/>
    </xf>
    <xf numFmtId="188" fontId="101" fillId="10" borderId="21" xfId="40" applyNumberFormat="1" applyFont="1" applyFill="1" applyBorder="1" applyAlignment="1">
      <alignment/>
    </xf>
    <xf numFmtId="189" fontId="27" fillId="0" borderId="35" xfId="40" applyNumberFormat="1" applyFont="1" applyBorder="1" applyAlignment="1">
      <alignment/>
    </xf>
    <xf numFmtId="189" fontId="35" fillId="0" borderId="36" xfId="40" applyNumberFormat="1" applyFont="1" applyBorder="1" applyAlignment="1">
      <alignment/>
    </xf>
    <xf numFmtId="189" fontId="4" fillId="0" borderId="0" xfId="40" applyNumberFormat="1" applyFont="1" applyBorder="1" applyAlignment="1">
      <alignment/>
    </xf>
    <xf numFmtId="189" fontId="100" fillId="0" borderId="0" xfId="40" applyNumberFormat="1" applyFont="1" applyBorder="1" applyAlignment="1">
      <alignment/>
    </xf>
    <xf numFmtId="189" fontId="9" fillId="0" borderId="0" xfId="40" applyNumberFormat="1" applyFont="1" applyAlignment="1">
      <alignment/>
    </xf>
    <xf numFmtId="189" fontId="7" fillId="0" borderId="0" xfId="40" applyNumberFormat="1" applyFont="1" applyAlignment="1">
      <alignment horizontal="right"/>
    </xf>
    <xf numFmtId="189" fontId="4" fillId="0" borderId="36" xfId="40" applyNumberFormat="1" applyFont="1" applyBorder="1" applyAlignment="1">
      <alignment horizontal="right"/>
    </xf>
    <xf numFmtId="189" fontId="103" fillId="0" borderId="35" xfId="40" applyNumberFormat="1" applyFont="1" applyBorder="1" applyAlignment="1">
      <alignment/>
    </xf>
    <xf numFmtId="189" fontId="104" fillId="0" borderId="36" xfId="40" applyNumberFormat="1" applyFont="1" applyBorder="1" applyAlignment="1">
      <alignment/>
    </xf>
    <xf numFmtId="189" fontId="105" fillId="0" borderId="35" xfId="40" applyNumberFormat="1" applyFont="1" applyBorder="1" applyAlignment="1">
      <alignment/>
    </xf>
    <xf numFmtId="189" fontId="105" fillId="0" borderId="36" xfId="40" applyNumberFormat="1" applyFont="1" applyBorder="1" applyAlignment="1">
      <alignment horizontal="left"/>
    </xf>
    <xf numFmtId="189" fontId="104" fillId="0" borderId="36" xfId="40" applyNumberFormat="1" applyFont="1" applyBorder="1" applyAlignment="1">
      <alignment horizontal="left"/>
    </xf>
    <xf numFmtId="189" fontId="4" fillId="0" borderId="36" xfId="40" applyNumberFormat="1" applyFont="1" applyBorder="1" applyAlignment="1">
      <alignment horizontal="left"/>
    </xf>
    <xf numFmtId="189" fontId="4" fillId="0" borderId="0" xfId="40" applyNumberFormat="1" applyFont="1" applyBorder="1" applyAlignment="1">
      <alignment horizontal="left"/>
    </xf>
    <xf numFmtId="189" fontId="9" fillId="0" borderId="0" xfId="40" applyNumberFormat="1" applyFont="1" applyBorder="1" applyAlignment="1">
      <alignment/>
    </xf>
    <xf numFmtId="189" fontId="9" fillId="0" borderId="0" xfId="40" applyNumberFormat="1" applyFont="1" applyBorder="1" applyAlignment="1">
      <alignment horizontal="left"/>
    </xf>
    <xf numFmtId="188" fontId="100" fillId="0" borderId="21" xfId="40" applyNumberFormat="1" applyFont="1" applyBorder="1" applyAlignment="1">
      <alignment horizontal="center"/>
    </xf>
    <xf numFmtId="188" fontId="100" fillId="0" borderId="21" xfId="40" applyNumberFormat="1" applyFont="1" applyBorder="1" applyAlignment="1">
      <alignment horizontal="right"/>
    </xf>
    <xf numFmtId="189" fontId="27" fillId="0" borderId="36" xfId="40" applyNumberFormat="1" applyFont="1" applyBorder="1" applyAlignment="1">
      <alignment horizontal="right"/>
    </xf>
    <xf numFmtId="189" fontId="4" fillId="34" borderId="0" xfId="40" applyNumberFormat="1" applyFont="1" applyFill="1" applyBorder="1" applyAlignment="1">
      <alignment/>
    </xf>
    <xf numFmtId="189" fontId="4" fillId="34" borderId="0" xfId="40" applyNumberFormat="1" applyFont="1" applyFill="1" applyBorder="1" applyAlignment="1">
      <alignment horizontal="right"/>
    </xf>
    <xf numFmtId="189" fontId="100" fillId="34" borderId="0" xfId="40" applyNumberFormat="1" applyFont="1" applyFill="1" applyBorder="1" applyAlignment="1">
      <alignment/>
    </xf>
    <xf numFmtId="188" fontId="102" fillId="34" borderId="0" xfId="40" applyNumberFormat="1" applyFont="1" applyFill="1" applyBorder="1" applyAlignment="1">
      <alignment/>
    </xf>
    <xf numFmtId="189" fontId="100" fillId="34" borderId="0" xfId="40" applyNumberFormat="1" applyFont="1" applyFill="1" applyAlignment="1">
      <alignment/>
    </xf>
    <xf numFmtId="189" fontId="36" fillId="0" borderId="35" xfId="40" applyNumberFormat="1" applyFont="1" applyBorder="1" applyAlignment="1">
      <alignment/>
    </xf>
    <xf numFmtId="189" fontId="34" fillId="0" borderId="36" xfId="40" applyNumberFormat="1" applyFont="1" applyBorder="1" applyAlignment="1">
      <alignment/>
    </xf>
    <xf numFmtId="189" fontId="34" fillId="0" borderId="35" xfId="40" applyNumberFormat="1" applyFont="1" applyBorder="1" applyAlignment="1">
      <alignment/>
    </xf>
    <xf numFmtId="189" fontId="34" fillId="0" borderId="36" xfId="40" applyNumberFormat="1" applyFont="1" applyBorder="1" applyAlignment="1">
      <alignment horizontal="left"/>
    </xf>
    <xf numFmtId="189" fontId="36" fillId="0" borderId="36" xfId="40" applyNumberFormat="1" applyFont="1" applyBorder="1" applyAlignment="1">
      <alignment horizontal="left"/>
    </xf>
    <xf numFmtId="189" fontId="8" fillId="0" borderId="36" xfId="40" applyNumberFormat="1" applyFont="1" applyBorder="1" applyAlignment="1">
      <alignment/>
    </xf>
    <xf numFmtId="188" fontId="105" fillId="10" borderId="21" xfId="40" applyNumberFormat="1" applyFont="1" applyFill="1" applyBorder="1" applyAlignment="1">
      <alignment/>
    </xf>
    <xf numFmtId="188" fontId="4" fillId="5" borderId="35" xfId="40" applyNumberFormat="1" applyFont="1" applyFill="1" applyBorder="1" applyAlignment="1">
      <alignment/>
    </xf>
    <xf numFmtId="188" fontId="4" fillId="5" borderId="36" xfId="40" applyNumberFormat="1" applyFont="1" applyFill="1" applyBorder="1" applyAlignment="1">
      <alignment horizontal="right"/>
    </xf>
    <xf numFmtId="188" fontId="100" fillId="5" borderId="21" xfId="40" applyNumberFormat="1" applyFont="1" applyFill="1" applyBorder="1" applyAlignment="1">
      <alignment/>
    </xf>
    <xf numFmtId="188" fontId="101" fillId="5" borderId="21" xfId="40" applyNumberFormat="1" applyFont="1" applyFill="1" applyBorder="1" applyAlignment="1">
      <alignment/>
    </xf>
    <xf numFmtId="188" fontId="106" fillId="0" borderId="21" xfId="40" applyNumberFormat="1" applyFont="1" applyBorder="1" applyAlignment="1">
      <alignment/>
    </xf>
    <xf numFmtId="188" fontId="101" fillId="0" borderId="0" xfId="40" applyNumberFormat="1" applyFont="1" applyAlignment="1">
      <alignment/>
    </xf>
    <xf numFmtId="188" fontId="4" fillId="9" borderId="35" xfId="40" applyNumberFormat="1" applyFont="1" applyFill="1" applyBorder="1" applyAlignment="1">
      <alignment/>
    </xf>
    <xf numFmtId="188" fontId="27" fillId="9" borderId="36" xfId="40" applyNumberFormat="1" applyFont="1" applyFill="1" applyBorder="1" applyAlignment="1">
      <alignment horizontal="right"/>
    </xf>
    <xf numFmtId="188" fontId="32" fillId="9" borderId="21" xfId="40" applyNumberFormat="1" applyFont="1" applyFill="1" applyBorder="1" applyAlignment="1">
      <alignment/>
    </xf>
    <xf numFmtId="188" fontId="106" fillId="9" borderId="21" xfId="40" applyNumberFormat="1" applyFont="1" applyFill="1" applyBorder="1" applyAlignment="1">
      <alignment/>
    </xf>
    <xf numFmtId="188" fontId="105" fillId="0" borderId="0" xfId="40" applyNumberFormat="1" applyFont="1" applyAlignment="1">
      <alignment/>
    </xf>
    <xf numFmtId="188" fontId="100" fillId="11" borderId="0" xfId="40" applyNumberFormat="1" applyFont="1" applyFill="1" applyAlignment="1">
      <alignment/>
    </xf>
    <xf numFmtId="188" fontId="107" fillId="0" borderId="46" xfId="40" applyNumberFormat="1" applyFont="1" applyBorder="1" applyAlignment="1">
      <alignment/>
    </xf>
    <xf numFmtId="189" fontId="107" fillId="0" borderId="0" xfId="40" applyNumberFormat="1" applyFont="1" applyAlignment="1">
      <alignment/>
    </xf>
    <xf numFmtId="188" fontId="100" fillId="15" borderId="0" xfId="40" applyNumberFormat="1" applyFont="1" applyFill="1" applyAlignment="1">
      <alignment/>
    </xf>
    <xf numFmtId="189" fontId="100" fillId="34" borderId="0" xfId="40" applyNumberFormat="1" applyFont="1" applyFill="1" applyAlignment="1" applyProtection="1">
      <alignment/>
      <protection/>
    </xf>
    <xf numFmtId="0" fontId="8" fillId="34" borderId="0" xfId="49" applyFont="1" applyFill="1" applyBorder="1">
      <alignment/>
      <protection/>
    </xf>
    <xf numFmtId="43" fontId="9" fillId="34" borderId="0" xfId="38" applyNumberFormat="1" applyFont="1" applyFill="1" applyBorder="1" applyAlignment="1">
      <alignment horizontal="center"/>
    </xf>
    <xf numFmtId="43" fontId="9" fillId="34" borderId="0" xfId="49" applyNumberFormat="1" applyFont="1" applyFill="1" applyBorder="1">
      <alignment/>
      <protection/>
    </xf>
    <xf numFmtId="0" fontId="37" fillId="0" borderId="0" xfId="49" applyFont="1" applyBorder="1">
      <alignment/>
      <protection/>
    </xf>
    <xf numFmtId="0" fontId="37" fillId="34" borderId="0" xfId="49" applyFont="1" applyFill="1" applyBorder="1">
      <alignment/>
      <protection/>
    </xf>
    <xf numFmtId="43" fontId="37" fillId="0" borderId="0" xfId="49" applyNumberFormat="1" applyFont="1" applyBorder="1">
      <alignment/>
      <protection/>
    </xf>
    <xf numFmtId="43" fontId="37" fillId="0" borderId="0" xfId="36" applyFont="1" applyBorder="1" applyAlignment="1">
      <alignment/>
    </xf>
    <xf numFmtId="0" fontId="7" fillId="34" borderId="21" xfId="49" applyFont="1" applyFill="1" applyBorder="1" applyAlignment="1">
      <alignment horizontal="center"/>
      <protection/>
    </xf>
    <xf numFmtId="43" fontId="7" fillId="34" borderId="21" xfId="49" applyNumberFormat="1" applyFont="1" applyFill="1" applyBorder="1" applyAlignment="1">
      <alignment horizontal="center"/>
      <protection/>
    </xf>
    <xf numFmtId="0" fontId="9" fillId="34" borderId="21" xfId="49" applyFont="1" applyFill="1" applyBorder="1" applyAlignment="1">
      <alignment vertical="center"/>
      <protection/>
    </xf>
    <xf numFmtId="43" fontId="9" fillId="34" borderId="21" xfId="38" applyNumberFormat="1" applyFont="1" applyFill="1" applyBorder="1" applyAlignment="1" quotePrefix="1">
      <alignment horizontal="center"/>
    </xf>
    <xf numFmtId="43" fontId="9" fillId="34" borderId="21" xfId="38" applyNumberFormat="1" applyFont="1" applyFill="1" applyBorder="1" applyAlignment="1">
      <alignment horizontal="center"/>
    </xf>
    <xf numFmtId="43" fontId="9" fillId="34" borderId="21" xfId="49" applyNumberFormat="1" applyFont="1" applyFill="1" applyBorder="1">
      <alignment/>
      <protection/>
    </xf>
    <xf numFmtId="49" fontId="9" fillId="34" borderId="21" xfId="38" applyNumberFormat="1" applyFont="1" applyFill="1" applyBorder="1" applyAlignment="1">
      <alignment horizontal="center"/>
    </xf>
    <xf numFmtId="193" fontId="9" fillId="34" borderId="21" xfId="38" applyNumberFormat="1" applyFont="1" applyFill="1" applyBorder="1" applyAlignment="1" quotePrefix="1">
      <alignment horizontal="center"/>
    </xf>
    <xf numFmtId="49" fontId="9" fillId="34" borderId="21" xfId="38" applyNumberFormat="1" applyFont="1" applyFill="1" applyBorder="1" applyAlignment="1" quotePrefix="1">
      <alignment horizontal="center"/>
    </xf>
    <xf numFmtId="0" fontId="8" fillId="34" borderId="21" xfId="49" applyFont="1" applyFill="1" applyBorder="1">
      <alignment/>
      <protection/>
    </xf>
    <xf numFmtId="43" fontId="7" fillId="34" borderId="21" xfId="38" applyNumberFormat="1" applyFont="1" applyFill="1" applyBorder="1" applyAlignment="1">
      <alignment horizontal="center"/>
    </xf>
    <xf numFmtId="43" fontId="7" fillId="34" borderId="21" xfId="49" applyNumberFormat="1" applyFont="1" applyFill="1" applyBorder="1">
      <alignment/>
      <protection/>
    </xf>
    <xf numFmtId="0" fontId="10" fillId="0" borderId="0" xfId="52" applyFont="1">
      <alignment/>
      <protection/>
    </xf>
    <xf numFmtId="0" fontId="42" fillId="0" borderId="0" xfId="52" applyFont="1">
      <alignment/>
      <protection/>
    </xf>
    <xf numFmtId="49" fontId="42" fillId="0" borderId="10" xfId="41" applyNumberFormat="1" applyFont="1" applyBorder="1" applyAlignment="1">
      <alignment horizontal="right"/>
    </xf>
    <xf numFmtId="43" fontId="42" fillId="0" borderId="33" xfId="41" applyFont="1" applyBorder="1" applyAlignment="1">
      <alignment/>
    </xf>
    <xf numFmtId="0" fontId="10" fillId="0" borderId="30" xfId="52" applyFont="1" applyBorder="1">
      <alignment/>
      <protection/>
    </xf>
    <xf numFmtId="0" fontId="10" fillId="0" borderId="28" xfId="52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11" xfId="52" applyFont="1" applyBorder="1">
      <alignment/>
      <protection/>
    </xf>
    <xf numFmtId="0" fontId="43" fillId="0" borderId="0" xfId="52" applyFont="1" applyAlignment="1">
      <alignment horizontal="center"/>
      <protection/>
    </xf>
    <xf numFmtId="0" fontId="41" fillId="0" borderId="0" xfId="52" applyFont="1" applyAlignment="1">
      <alignment horizontal="center"/>
      <protection/>
    </xf>
    <xf numFmtId="43" fontId="42" fillId="0" borderId="39" xfId="52" applyNumberFormat="1" applyFont="1" applyBorder="1" applyAlignment="1">
      <alignment/>
      <protection/>
    </xf>
    <xf numFmtId="43" fontId="42" fillId="0" borderId="39" xfId="52" applyNumberFormat="1" applyFont="1" applyBorder="1" applyAlignment="1">
      <alignment horizontal="center"/>
      <protection/>
    </xf>
    <xf numFmtId="0" fontId="43" fillId="0" borderId="0" xfId="52" applyFont="1">
      <alignment/>
      <protection/>
    </xf>
    <xf numFmtId="49" fontId="42" fillId="0" borderId="47" xfId="52" applyNumberFormat="1" applyFont="1" applyBorder="1" applyAlignment="1">
      <alignment horizontal="left"/>
      <protection/>
    </xf>
    <xf numFmtId="0" fontId="10" fillId="0" borderId="32" xfId="52" applyFont="1" applyBorder="1">
      <alignment/>
      <protection/>
    </xf>
    <xf numFmtId="0" fontId="10" fillId="0" borderId="14" xfId="52" applyFont="1" applyBorder="1">
      <alignment/>
      <protection/>
    </xf>
    <xf numFmtId="0" fontId="10" fillId="0" borderId="24" xfId="52" applyFont="1" applyBorder="1">
      <alignment/>
      <protection/>
    </xf>
    <xf numFmtId="0" fontId="10" fillId="0" borderId="12" xfId="52" applyFont="1" applyBorder="1">
      <alignment/>
      <protection/>
    </xf>
    <xf numFmtId="0" fontId="41" fillId="0" borderId="0" xfId="52" applyFont="1">
      <alignment/>
      <protection/>
    </xf>
    <xf numFmtId="0" fontId="42" fillId="0" borderId="48" xfId="52" applyFont="1" applyBorder="1" applyAlignment="1">
      <alignment/>
      <protection/>
    </xf>
    <xf numFmtId="43" fontId="42" fillId="0" borderId="13" xfId="52" applyNumberFormat="1" applyFont="1" applyBorder="1" applyAlignment="1">
      <alignment horizontal="center"/>
      <protection/>
    </xf>
    <xf numFmtId="43" fontId="42" fillId="0" borderId="13" xfId="52" applyNumberFormat="1" applyFont="1" applyBorder="1" applyAlignment="1">
      <alignment/>
      <protection/>
    </xf>
    <xf numFmtId="49" fontId="43" fillId="0" borderId="47" xfId="52" applyNumberFormat="1" applyFont="1" applyBorder="1" applyAlignment="1">
      <alignment horizontal="left"/>
      <protection/>
    </xf>
    <xf numFmtId="0" fontId="42" fillId="0" borderId="0" xfId="52" applyFont="1" applyBorder="1" applyAlignment="1">
      <alignment/>
      <protection/>
    </xf>
    <xf numFmtId="43" fontId="41" fillId="0" borderId="0" xfId="41" applyFont="1" applyBorder="1" applyAlignment="1">
      <alignment horizontal="right"/>
    </xf>
    <xf numFmtId="0" fontId="30" fillId="0" borderId="0" xfId="51" applyFont="1" applyAlignment="1">
      <alignment/>
      <protection/>
    </xf>
    <xf numFmtId="0" fontId="45" fillId="0" borderId="0" xfId="51" applyFont="1">
      <alignment/>
      <protection/>
    </xf>
    <xf numFmtId="0" fontId="30" fillId="0" borderId="0" xfId="51" applyFont="1" applyAlignment="1">
      <alignment horizontal="center"/>
      <protection/>
    </xf>
    <xf numFmtId="43" fontId="7" fillId="0" borderId="38" xfId="42" applyFont="1" applyBorder="1" applyAlignment="1" applyProtection="1">
      <alignment horizontal="center" vertical="center"/>
      <protection hidden="1"/>
    </xf>
    <xf numFmtId="0" fontId="45" fillId="0" borderId="39" xfId="51" applyFont="1" applyBorder="1" applyAlignment="1">
      <alignment horizontal="center"/>
      <protection/>
    </xf>
    <xf numFmtId="43" fontId="7" fillId="0" borderId="42" xfId="42" applyFont="1" applyBorder="1" applyAlignment="1" applyProtection="1">
      <alignment horizontal="center" vertical="center"/>
      <protection hidden="1"/>
    </xf>
    <xf numFmtId="0" fontId="7" fillId="0" borderId="43" xfId="51" applyFont="1" applyBorder="1">
      <alignment/>
      <protection/>
    </xf>
    <xf numFmtId="0" fontId="7" fillId="0" borderId="38" xfId="51" applyFont="1" applyBorder="1">
      <alignment/>
      <protection/>
    </xf>
    <xf numFmtId="0" fontId="9" fillId="0" borderId="0" xfId="51" applyFont="1" applyBorder="1">
      <alignment/>
      <protection/>
    </xf>
    <xf numFmtId="0" fontId="9" fillId="0" borderId="39" xfId="51" applyFont="1" applyBorder="1">
      <alignment/>
      <protection/>
    </xf>
    <xf numFmtId="43" fontId="9" fillId="0" borderId="38" xfId="42" applyFont="1" applyBorder="1" applyAlignment="1">
      <alignment/>
    </xf>
    <xf numFmtId="0" fontId="45" fillId="0" borderId="39" xfId="51" applyFont="1" applyBorder="1">
      <alignment/>
      <protection/>
    </xf>
    <xf numFmtId="0" fontId="7" fillId="0" borderId="39" xfId="51" applyFont="1" applyBorder="1">
      <alignment/>
      <protection/>
    </xf>
    <xf numFmtId="0" fontId="9" fillId="0" borderId="37" xfId="51" applyFont="1" applyBorder="1" applyAlignment="1" quotePrefix="1">
      <alignment horizontal="center"/>
      <protection/>
    </xf>
    <xf numFmtId="43" fontId="9" fillId="0" borderId="37" xfId="42" applyFont="1" applyBorder="1" applyAlignment="1">
      <alignment/>
    </xf>
    <xf numFmtId="0" fontId="9" fillId="0" borderId="37" xfId="51" applyFont="1" applyFill="1" applyBorder="1" applyAlignment="1" quotePrefix="1">
      <alignment horizontal="center"/>
      <protection/>
    </xf>
    <xf numFmtId="4" fontId="9" fillId="0" borderId="0" xfId="51" applyNumberFormat="1" applyFont="1" applyBorder="1">
      <alignment/>
      <protection/>
    </xf>
    <xf numFmtId="4" fontId="9" fillId="0" borderId="39" xfId="51" applyNumberFormat="1" applyFont="1" applyBorder="1">
      <alignment/>
      <protection/>
    </xf>
    <xf numFmtId="43" fontId="9" fillId="0" borderId="37" xfId="42" applyFont="1" applyBorder="1" applyAlignment="1">
      <alignment horizontal="center"/>
    </xf>
    <xf numFmtId="43" fontId="9" fillId="0" borderId="37" xfId="42" applyFont="1" applyBorder="1" applyAlignment="1">
      <alignment horizontal="right"/>
    </xf>
    <xf numFmtId="0" fontId="7" fillId="0" borderId="39" xfId="51" applyFont="1" applyBorder="1" applyAlignment="1">
      <alignment horizontal="center"/>
      <protection/>
    </xf>
    <xf numFmtId="43" fontId="7" fillId="0" borderId="35" xfId="42" applyFont="1" applyBorder="1" applyAlignment="1">
      <alignment/>
    </xf>
    <xf numFmtId="43" fontId="7" fillId="0" borderId="21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39" xfId="42" applyFont="1" applyBorder="1" applyAlignment="1">
      <alignment/>
    </xf>
    <xf numFmtId="0" fontId="9" fillId="0" borderId="40" xfId="51" applyFont="1" applyBorder="1">
      <alignment/>
      <protection/>
    </xf>
    <xf numFmtId="0" fontId="9" fillId="0" borderId="42" xfId="51" applyFont="1" applyBorder="1" applyAlignment="1" quotePrefix="1">
      <alignment horizontal="center"/>
      <protection/>
    </xf>
    <xf numFmtId="43" fontId="9" fillId="0" borderId="23" xfId="42" applyFont="1" applyBorder="1" applyAlignment="1">
      <alignment/>
    </xf>
    <xf numFmtId="43" fontId="9" fillId="0" borderId="40" xfId="42" applyFont="1" applyBorder="1" applyAlignment="1">
      <alignment/>
    </xf>
    <xf numFmtId="43" fontId="9" fillId="0" borderId="42" xfId="42" applyFont="1" applyBorder="1" applyAlignment="1">
      <alignment/>
    </xf>
    <xf numFmtId="43" fontId="9" fillId="0" borderId="37" xfId="42" applyFont="1" applyBorder="1" applyAlignment="1">
      <alignment/>
    </xf>
    <xf numFmtId="43" fontId="9" fillId="0" borderId="0" xfId="42" applyFont="1" applyBorder="1" applyAlignment="1">
      <alignment horizontal="center"/>
    </xf>
    <xf numFmtId="43" fontId="9" fillId="0" borderId="39" xfId="42" applyFont="1" applyBorder="1" applyAlignment="1">
      <alignment horizontal="center"/>
    </xf>
    <xf numFmtId="4" fontId="7" fillId="0" borderId="35" xfId="51" applyNumberFormat="1" applyFont="1" applyBorder="1">
      <alignment/>
      <protection/>
    </xf>
    <xf numFmtId="4" fontId="7" fillId="0" borderId="21" xfId="51" applyNumberFormat="1" applyFont="1" applyBorder="1">
      <alignment/>
      <protection/>
    </xf>
    <xf numFmtId="43" fontId="7" fillId="0" borderId="21" xfId="42" applyFont="1" applyBorder="1" applyAlignment="1">
      <alignment horizontal="right"/>
    </xf>
    <xf numFmtId="0" fontId="9" fillId="0" borderId="37" xfId="51" applyFont="1" applyBorder="1">
      <alignment/>
      <protection/>
    </xf>
    <xf numFmtId="0" fontId="7" fillId="0" borderId="37" xfId="51" applyFont="1" applyBorder="1">
      <alignment/>
      <protection/>
    </xf>
    <xf numFmtId="43" fontId="9" fillId="0" borderId="35" xfId="42" applyFont="1" applyBorder="1" applyAlignment="1">
      <alignment horizontal="center"/>
    </xf>
    <xf numFmtId="43" fontId="9" fillId="0" borderId="21" xfId="42" applyFont="1" applyBorder="1" applyAlignment="1">
      <alignment horizontal="center"/>
    </xf>
    <xf numFmtId="0" fontId="9" fillId="0" borderId="23" xfId="51" applyFont="1" applyBorder="1">
      <alignment/>
      <protection/>
    </xf>
    <xf numFmtId="43" fontId="9" fillId="0" borderId="0" xfId="51" applyNumberFormat="1" applyFont="1" applyBorder="1">
      <alignment/>
      <protection/>
    </xf>
    <xf numFmtId="43" fontId="9" fillId="0" borderId="39" xfId="51" applyNumberFormat="1" applyFont="1" applyBorder="1">
      <alignment/>
      <protection/>
    </xf>
    <xf numFmtId="43" fontId="7" fillId="0" borderId="35" xfId="42" applyFont="1" applyBorder="1" applyAlignment="1">
      <alignment horizontal="center"/>
    </xf>
    <xf numFmtId="43" fontId="7" fillId="0" borderId="21" xfId="42" applyFont="1" applyBorder="1" applyAlignment="1">
      <alignment horizontal="center"/>
    </xf>
    <xf numFmtId="43" fontId="45" fillId="0" borderId="39" xfId="42" applyFont="1" applyBorder="1" applyAlignment="1">
      <alignment/>
    </xf>
    <xf numFmtId="43" fontId="45" fillId="0" borderId="39" xfId="51" applyNumberFormat="1" applyFont="1" applyBorder="1">
      <alignment/>
      <protection/>
    </xf>
    <xf numFmtId="43" fontId="9" fillId="0" borderId="0" xfId="42" applyNumberFormat="1" applyFont="1" applyBorder="1" applyAlignment="1">
      <alignment/>
    </xf>
    <xf numFmtId="43" fontId="9" fillId="0" borderId="39" xfId="42" applyNumberFormat="1" applyFont="1" applyBorder="1" applyAlignment="1">
      <alignment/>
    </xf>
    <xf numFmtId="0" fontId="7" fillId="0" borderId="40" xfId="51" applyFont="1" applyBorder="1" applyAlignment="1">
      <alignment horizontal="center"/>
      <protection/>
    </xf>
    <xf numFmtId="0" fontId="9" fillId="0" borderId="42" xfId="51" applyFont="1" applyBorder="1">
      <alignment/>
      <protection/>
    </xf>
    <xf numFmtId="0" fontId="45" fillId="0" borderId="0" xfId="51" applyFont="1" applyBorder="1">
      <alignment/>
      <protection/>
    </xf>
    <xf numFmtId="0" fontId="9" fillId="0" borderId="37" xfId="51" applyFont="1" applyBorder="1" applyAlignment="1">
      <alignment horizontal="left"/>
      <protection/>
    </xf>
    <xf numFmtId="0" fontId="4" fillId="0" borderId="39" xfId="51" applyFont="1" applyBorder="1">
      <alignment/>
      <protection/>
    </xf>
    <xf numFmtId="43" fontId="9" fillId="0" borderId="0" xfId="42" applyNumberFormat="1" applyFont="1" applyBorder="1" applyAlignment="1">
      <alignment horizontal="center"/>
    </xf>
    <xf numFmtId="43" fontId="9" fillId="0" borderId="39" xfId="42" applyNumberFormat="1" applyFont="1" applyBorder="1" applyAlignment="1">
      <alignment horizontal="center"/>
    </xf>
    <xf numFmtId="4" fontId="7" fillId="0" borderId="35" xfId="51" applyNumberFormat="1" applyFont="1" applyBorder="1" applyAlignment="1">
      <alignment horizontal="center"/>
      <protection/>
    </xf>
    <xf numFmtId="4" fontId="7" fillId="0" borderId="21" xfId="51" applyNumberFormat="1" applyFont="1" applyBorder="1" applyAlignment="1">
      <alignment horizontal="center"/>
      <protection/>
    </xf>
    <xf numFmtId="0" fontId="9" fillId="0" borderId="37" xfId="51" applyFont="1" applyBorder="1" applyAlignment="1">
      <alignment horizontal="center"/>
      <protection/>
    </xf>
    <xf numFmtId="0" fontId="7" fillId="0" borderId="40" xfId="51" applyFont="1" applyBorder="1">
      <alignment/>
      <protection/>
    </xf>
    <xf numFmtId="0" fontId="7" fillId="0" borderId="42" xfId="51" applyFont="1" applyBorder="1" applyAlignment="1" quotePrefix="1">
      <alignment horizontal="center"/>
      <protection/>
    </xf>
    <xf numFmtId="0" fontId="7" fillId="0" borderId="23" xfId="51" applyFont="1" applyBorder="1">
      <alignment/>
      <protection/>
    </xf>
    <xf numFmtId="43" fontId="7" fillId="0" borderId="40" xfId="42" applyFont="1" applyBorder="1" applyAlignment="1">
      <alignment/>
    </xf>
    <xf numFmtId="43" fontId="7" fillId="0" borderId="42" xfId="42" applyFont="1" applyBorder="1" applyAlignment="1">
      <alignment/>
    </xf>
    <xf numFmtId="0" fontId="7" fillId="0" borderId="21" xfId="51" applyFont="1" applyBorder="1" applyAlignment="1">
      <alignment horizontal="center"/>
      <protection/>
    </xf>
    <xf numFmtId="0" fontId="9" fillId="0" borderId="49" xfId="51" applyFont="1" applyBorder="1">
      <alignment/>
      <protection/>
    </xf>
    <xf numFmtId="4" fontId="7" fillId="0" borderId="50" xfId="51" applyNumberFormat="1" applyFont="1" applyBorder="1">
      <alignment/>
      <protection/>
    </xf>
    <xf numFmtId="4" fontId="7" fillId="0" borderId="49" xfId="51" applyNumberFormat="1" applyFont="1" applyBorder="1">
      <alignment/>
      <protection/>
    </xf>
    <xf numFmtId="43" fontId="45" fillId="0" borderId="0" xfId="42" applyFont="1" applyBorder="1" applyAlignment="1">
      <alignment/>
    </xf>
    <xf numFmtId="4" fontId="45" fillId="0" borderId="0" xfId="51" applyNumberFormat="1" applyFont="1" applyBorder="1">
      <alignment/>
      <protection/>
    </xf>
    <xf numFmtId="43" fontId="45" fillId="0" borderId="0" xfId="42" applyFont="1" applyAlignment="1">
      <alignment/>
    </xf>
    <xf numFmtId="43" fontId="30" fillId="0" borderId="0" xfId="36" applyFont="1" applyAlignment="1">
      <alignment/>
    </xf>
    <xf numFmtId="43" fontId="9" fillId="0" borderId="0" xfId="36" applyFont="1" applyBorder="1" applyAlignment="1">
      <alignment/>
    </xf>
    <xf numFmtId="43" fontId="7" fillId="0" borderId="35" xfId="36" applyFont="1" applyBorder="1" applyAlignment="1">
      <alignment/>
    </xf>
    <xf numFmtId="43" fontId="9" fillId="0" borderId="23" xfId="36" applyFont="1" applyBorder="1" applyAlignment="1">
      <alignment/>
    </xf>
    <xf numFmtId="43" fontId="9" fillId="0" borderId="0" xfId="36" applyFont="1" applyBorder="1" applyAlignment="1">
      <alignment horizontal="center"/>
    </xf>
    <xf numFmtId="43" fontId="7" fillId="0" borderId="35" xfId="36" applyFont="1" applyBorder="1" applyAlignment="1">
      <alignment horizontal="center"/>
    </xf>
    <xf numFmtId="43" fontId="7" fillId="0" borderId="23" xfId="36" applyFont="1" applyBorder="1" applyAlignment="1">
      <alignment/>
    </xf>
    <xf numFmtId="43" fontId="7" fillId="0" borderId="50" xfId="36" applyFont="1" applyBorder="1" applyAlignment="1">
      <alignment/>
    </xf>
    <xf numFmtId="43" fontId="45" fillId="0" borderId="0" xfId="36" applyFont="1" applyBorder="1" applyAlignment="1">
      <alignment/>
    </xf>
    <xf numFmtId="43" fontId="45" fillId="0" borderId="0" xfId="36" applyFont="1" applyAlignment="1">
      <alignment/>
    </xf>
    <xf numFmtId="43" fontId="7" fillId="0" borderId="0" xfId="36" applyFont="1" applyBorder="1" applyAlignment="1">
      <alignment/>
    </xf>
    <xf numFmtId="0" fontId="7" fillId="0" borderId="38" xfId="51" applyFont="1" applyBorder="1" applyAlignment="1">
      <alignment horizontal="center"/>
      <protection/>
    </xf>
    <xf numFmtId="0" fontId="7" fillId="0" borderId="37" xfId="51" applyFont="1" applyBorder="1" applyAlignment="1">
      <alignment horizontal="center"/>
      <protection/>
    </xf>
    <xf numFmtId="0" fontId="9" fillId="0" borderId="42" xfId="51" applyFont="1" applyBorder="1" applyAlignment="1">
      <alignment horizontal="center"/>
      <protection/>
    </xf>
    <xf numFmtId="0" fontId="9" fillId="0" borderId="49" xfId="51" applyFont="1" applyBorder="1" applyAlignment="1">
      <alignment horizontal="center"/>
      <protection/>
    </xf>
    <xf numFmtId="0" fontId="45" fillId="0" borderId="0" xfId="51" applyFont="1" applyBorder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9" fillId="0" borderId="39" xfId="51" applyFont="1" applyBorder="1" applyAlignment="1">
      <alignment horizontal="center"/>
      <protection/>
    </xf>
    <xf numFmtId="4" fontId="9" fillId="0" borderId="39" xfId="51" applyNumberFormat="1" applyFont="1" applyBorder="1" applyAlignment="1">
      <alignment horizontal="center"/>
      <protection/>
    </xf>
    <xf numFmtId="43" fontId="9" fillId="0" borderId="40" xfId="42" applyFont="1" applyBorder="1" applyAlignment="1">
      <alignment horizontal="center"/>
    </xf>
    <xf numFmtId="0" fontId="9" fillId="0" borderId="40" xfId="51" applyFont="1" applyBorder="1" applyAlignment="1">
      <alignment horizontal="center"/>
      <protection/>
    </xf>
    <xf numFmtId="43" fontId="9" fillId="0" borderId="39" xfId="51" applyNumberFormat="1" applyFont="1" applyBorder="1" applyAlignment="1">
      <alignment horizontal="center"/>
      <protection/>
    </xf>
    <xf numFmtId="43" fontId="7" fillId="0" borderId="40" xfId="42" applyFont="1" applyBorder="1" applyAlignment="1">
      <alignment horizontal="center"/>
    </xf>
    <xf numFmtId="4" fontId="7" fillId="0" borderId="49" xfId="51" applyNumberFormat="1" applyFont="1" applyBorder="1" applyAlignment="1">
      <alignment horizontal="center"/>
      <protection/>
    </xf>
    <xf numFmtId="43" fontId="9" fillId="0" borderId="38" xfId="42" applyFont="1" applyBorder="1" applyAlignment="1">
      <alignment horizontal="center"/>
    </xf>
    <xf numFmtId="43" fontId="9" fillId="0" borderId="42" xfId="42" applyFont="1" applyBorder="1" applyAlignment="1">
      <alignment horizontal="center"/>
    </xf>
    <xf numFmtId="43" fontId="7" fillId="0" borderId="42" xfId="42" applyFont="1" applyBorder="1" applyAlignment="1">
      <alignment horizontal="center"/>
    </xf>
    <xf numFmtId="43" fontId="45" fillId="0" borderId="0" xfId="42" applyFont="1" applyBorder="1" applyAlignment="1">
      <alignment horizontal="center"/>
    </xf>
    <xf numFmtId="43" fontId="45" fillId="0" borderId="0" xfId="42" applyFont="1" applyAlignment="1">
      <alignment horizontal="center"/>
    </xf>
    <xf numFmtId="43" fontId="9" fillId="0" borderId="39" xfId="42" applyFont="1" applyBorder="1" applyAlignment="1">
      <alignment/>
    </xf>
    <xf numFmtId="43" fontId="9" fillId="0" borderId="13" xfId="42" applyFont="1" applyBorder="1" applyAlignment="1">
      <alignment horizontal="center"/>
    </xf>
    <xf numFmtId="0" fontId="9" fillId="0" borderId="13" xfId="51" applyFont="1" applyBorder="1" applyAlignment="1" quotePrefix="1">
      <alignment horizontal="center"/>
      <protection/>
    </xf>
    <xf numFmtId="43" fontId="9" fillId="0" borderId="13" xfId="36" applyFont="1" applyBorder="1" applyAlignment="1">
      <alignment/>
    </xf>
    <xf numFmtId="0" fontId="9" fillId="0" borderId="13" xfId="51" applyFont="1" applyBorder="1">
      <alignment/>
      <protection/>
    </xf>
    <xf numFmtId="4" fontId="46" fillId="0" borderId="0" xfId="51" applyNumberFormat="1" applyFont="1">
      <alignment/>
      <protection/>
    </xf>
    <xf numFmtId="0" fontId="45" fillId="0" borderId="37" xfId="51" applyFont="1" applyBorder="1">
      <alignment/>
      <protection/>
    </xf>
    <xf numFmtId="43" fontId="7" fillId="0" borderId="21" xfId="36" applyFont="1" applyBorder="1" applyAlignment="1">
      <alignment horizontal="center"/>
    </xf>
    <xf numFmtId="0" fontId="9" fillId="0" borderId="39" xfId="51" applyFont="1" applyBorder="1" applyAlignment="1">
      <alignment vertical="center"/>
      <protection/>
    </xf>
    <xf numFmtId="4" fontId="9" fillId="0" borderId="39" xfId="51" applyNumberFormat="1" applyFont="1" applyBorder="1" applyAlignment="1">
      <alignment vertical="center"/>
      <protection/>
    </xf>
    <xf numFmtId="43" fontId="7" fillId="0" borderId="21" xfId="42" applyFont="1" applyBorder="1" applyAlignment="1">
      <alignment vertical="center"/>
    </xf>
    <xf numFmtId="43" fontId="9" fillId="0" borderId="39" xfId="42" applyFont="1" applyBorder="1" applyAlignment="1">
      <alignment vertical="center"/>
    </xf>
    <xf numFmtId="43" fontId="9" fillId="0" borderId="40" xfId="42" applyFont="1" applyBorder="1" applyAlignment="1">
      <alignment vertical="center"/>
    </xf>
    <xf numFmtId="43" fontId="9" fillId="0" borderId="13" xfId="42" applyFont="1" applyBorder="1" applyAlignment="1">
      <alignment vertical="center"/>
    </xf>
    <xf numFmtId="43" fontId="7" fillId="0" borderId="35" xfId="42" applyFont="1" applyBorder="1" applyAlignment="1">
      <alignment vertical="center"/>
    </xf>
    <xf numFmtId="4" fontId="7" fillId="0" borderId="21" xfId="51" applyNumberFormat="1" applyFont="1" applyBorder="1" applyAlignment="1">
      <alignment vertical="center"/>
      <protection/>
    </xf>
    <xf numFmtId="0" fontId="9" fillId="0" borderId="40" xfId="51" applyFont="1" applyBorder="1" applyAlignment="1">
      <alignment vertical="center"/>
      <protection/>
    </xf>
    <xf numFmtId="43" fontId="9" fillId="0" borderId="39" xfId="51" applyNumberFormat="1" applyFont="1" applyBorder="1" applyAlignment="1">
      <alignment vertical="center"/>
      <protection/>
    </xf>
    <xf numFmtId="43" fontId="7" fillId="0" borderId="35" xfId="36" applyFont="1" applyBorder="1" applyAlignment="1">
      <alignment vertical="center"/>
    </xf>
    <xf numFmtId="43" fontId="9" fillId="0" borderId="39" xfId="42" applyNumberFormat="1" applyFont="1" applyBorder="1" applyAlignment="1">
      <alignment vertical="center"/>
    </xf>
    <xf numFmtId="4" fontId="7" fillId="0" borderId="35" xfId="51" applyNumberFormat="1" applyFont="1" applyBorder="1" applyAlignment="1">
      <alignment vertical="center"/>
      <protection/>
    </xf>
    <xf numFmtId="43" fontId="7" fillId="0" borderId="40" xfId="42" applyFont="1" applyBorder="1" applyAlignment="1">
      <alignment vertical="center"/>
    </xf>
    <xf numFmtId="4" fontId="7" fillId="0" borderId="49" xfId="51" applyNumberFormat="1" applyFont="1" applyBorder="1" applyAlignment="1">
      <alignment vertical="center"/>
      <protection/>
    </xf>
    <xf numFmtId="0" fontId="45" fillId="0" borderId="0" xfId="51" applyFont="1" applyAlignment="1">
      <alignment vertical="center"/>
      <protection/>
    </xf>
    <xf numFmtId="4" fontId="45" fillId="0" borderId="0" xfId="51" applyNumberFormat="1" applyFont="1">
      <alignment/>
      <protection/>
    </xf>
    <xf numFmtId="43" fontId="37" fillId="34" borderId="0" xfId="36" applyFont="1" applyFill="1" applyBorder="1" applyAlignment="1">
      <alignment/>
    </xf>
    <xf numFmtId="0" fontId="32" fillId="34" borderId="0" xfId="49" applyFont="1" applyFill="1" applyBorder="1">
      <alignment/>
      <protection/>
    </xf>
    <xf numFmtId="43" fontId="37" fillId="34" borderId="0" xfId="49" applyNumberFormat="1" applyFont="1" applyFill="1" applyBorder="1">
      <alignment/>
      <protection/>
    </xf>
    <xf numFmtId="43" fontId="37" fillId="34" borderId="0" xfId="36" applyFont="1" applyFill="1" applyBorder="1" applyAlignment="1">
      <alignment horizontal="center"/>
    </xf>
    <xf numFmtId="43" fontId="108" fillId="34" borderId="21" xfId="38" applyNumberFormat="1" applyFont="1" applyFill="1" applyBorder="1" applyAlignment="1">
      <alignment horizontal="center"/>
    </xf>
    <xf numFmtId="43" fontId="108" fillId="34" borderId="21" xfId="49" applyNumberFormat="1" applyFont="1" applyFill="1" applyBorder="1">
      <alignment/>
      <protection/>
    </xf>
    <xf numFmtId="43" fontId="9" fillId="33" borderId="21" xfId="49" applyNumberFormat="1" applyFont="1" applyFill="1" applyBorder="1">
      <alignment/>
      <protection/>
    </xf>
    <xf numFmtId="43" fontId="9" fillId="33" borderId="21" xfId="38" applyNumberFormat="1" applyFont="1" applyFill="1" applyBorder="1" applyAlignment="1" quotePrefix="1">
      <alignment horizontal="center"/>
    </xf>
    <xf numFmtId="0" fontId="43" fillId="0" borderId="0" xfId="52" applyFont="1" applyBorder="1" applyAlignment="1">
      <alignment horizontal="center"/>
      <protection/>
    </xf>
    <xf numFmtId="0" fontId="42" fillId="0" borderId="37" xfId="52" applyFont="1" applyBorder="1">
      <alignment/>
      <protection/>
    </xf>
    <xf numFmtId="0" fontId="42" fillId="0" borderId="21" xfId="52" applyFont="1" applyBorder="1" applyAlignment="1">
      <alignment horizontal="center"/>
      <protection/>
    </xf>
    <xf numFmtId="43" fontId="42" fillId="0" borderId="37" xfId="36" applyFont="1" applyBorder="1" applyAlignment="1">
      <alignment/>
    </xf>
    <xf numFmtId="43" fontId="41" fillId="0" borderId="44" xfId="52" applyNumberFormat="1" applyFont="1" applyBorder="1" applyAlignment="1">
      <alignment horizontal="center"/>
      <protection/>
    </xf>
    <xf numFmtId="43" fontId="41" fillId="0" borderId="0" xfId="52" applyNumberFormat="1" applyFont="1" applyBorder="1" applyAlignment="1">
      <alignment horizontal="center"/>
      <protection/>
    </xf>
    <xf numFmtId="43" fontId="41" fillId="0" borderId="0" xfId="52" applyNumberFormat="1" applyFont="1" applyBorder="1" applyAlignment="1">
      <alignment/>
      <protection/>
    </xf>
    <xf numFmtId="43" fontId="42" fillId="0" borderId="38" xfId="36" applyFont="1" applyBorder="1" applyAlignment="1">
      <alignment/>
    </xf>
    <xf numFmtId="43" fontId="42" fillId="0" borderId="0" xfId="52" applyNumberFormat="1" applyFont="1">
      <alignment/>
      <protection/>
    </xf>
    <xf numFmtId="195" fontId="9" fillId="34" borderId="21" xfId="38" applyNumberFormat="1" applyFont="1" applyFill="1" applyBorder="1" applyAlignment="1" quotePrefix="1">
      <alignment horizontal="center"/>
    </xf>
    <xf numFmtId="43" fontId="9" fillId="33" borderId="21" xfId="38" applyNumberFormat="1" applyFont="1" applyFill="1" applyBorder="1" applyAlignment="1">
      <alignment horizontal="center"/>
    </xf>
    <xf numFmtId="43" fontId="7" fillId="0" borderId="0" xfId="36" applyFont="1" applyBorder="1" applyAlignment="1">
      <alignment horizontal="center"/>
    </xf>
    <xf numFmtId="43" fontId="7" fillId="0" borderId="39" xfId="36" applyFont="1" applyBorder="1" applyAlignment="1">
      <alignment horizontal="center"/>
    </xf>
    <xf numFmtId="43" fontId="7" fillId="0" borderId="39" xfId="36" applyFont="1" applyBorder="1" applyAlignment="1">
      <alignment vertical="center"/>
    </xf>
    <xf numFmtId="43" fontId="7" fillId="0" borderId="37" xfId="36" applyFont="1" applyBorder="1" applyAlignment="1">
      <alignment horizontal="center"/>
    </xf>
    <xf numFmtId="43" fontId="102" fillId="34" borderId="21" xfId="38" applyNumberFormat="1" applyFont="1" applyFill="1" applyBorder="1" applyAlignment="1">
      <alignment horizontal="center"/>
    </xf>
    <xf numFmtId="43" fontId="102" fillId="34" borderId="21" xfId="38" applyNumberFormat="1" applyFont="1" applyFill="1" applyBorder="1" applyAlignment="1" quotePrefix="1">
      <alignment horizontal="center"/>
    </xf>
    <xf numFmtId="43" fontId="102" fillId="34" borderId="21" xfId="49" applyNumberFormat="1" applyFont="1" applyFill="1" applyBorder="1">
      <alignment/>
      <protection/>
    </xf>
    <xf numFmtId="4" fontId="7" fillId="0" borderId="49" xfId="51" applyNumberFormat="1" applyFont="1" applyBorder="1" applyAlignment="1">
      <alignment horizontal="right"/>
      <protection/>
    </xf>
    <xf numFmtId="43" fontId="42" fillId="0" borderId="42" xfId="36" applyFont="1" applyBorder="1" applyAlignment="1">
      <alignment/>
    </xf>
    <xf numFmtId="43" fontId="102" fillId="33" borderId="21" xfId="49" applyNumberFormat="1" applyFont="1" applyFill="1" applyBorder="1">
      <alignment/>
      <protection/>
    </xf>
    <xf numFmtId="43" fontId="102" fillId="33" borderId="21" xfId="38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45" fillId="0" borderId="0" xfId="51" applyNumberFormat="1" applyFont="1">
      <alignment/>
      <protection/>
    </xf>
    <xf numFmtId="43" fontId="7" fillId="0" borderId="42" xfId="42" applyFont="1" applyBorder="1" applyAlignment="1">
      <alignment vertical="center"/>
    </xf>
    <xf numFmtId="43" fontId="108" fillId="33" borderId="21" xfId="38" applyNumberFormat="1" applyFont="1" applyFill="1" applyBorder="1" applyAlignment="1">
      <alignment horizontal="center"/>
    </xf>
    <xf numFmtId="43" fontId="7" fillId="0" borderId="51" xfId="36" applyFont="1" applyBorder="1" applyAlignment="1">
      <alignment/>
    </xf>
    <xf numFmtId="43" fontId="7" fillId="0" borderId="51" xfId="42" applyFont="1" applyBorder="1" applyAlignment="1">
      <alignment vertical="center"/>
    </xf>
    <xf numFmtId="43" fontId="7" fillId="0" borderId="22" xfId="42" applyFont="1" applyBorder="1" applyAlignment="1">
      <alignment vertical="center"/>
    </xf>
    <xf numFmtId="43" fontId="9" fillId="34" borderId="37" xfId="42" applyFont="1" applyFill="1" applyBorder="1" applyAlignment="1">
      <alignment horizontal="center"/>
    </xf>
    <xf numFmtId="4" fontId="9" fillId="0" borderId="39" xfId="51" applyNumberFormat="1" applyFont="1" applyBorder="1" applyAlignment="1">
      <alignment horizontal="right"/>
      <protection/>
    </xf>
    <xf numFmtId="43" fontId="9" fillId="33" borderId="37" xfId="42" applyFont="1" applyFill="1" applyBorder="1" applyAlignment="1">
      <alignment horizontal="center"/>
    </xf>
    <xf numFmtId="43" fontId="42" fillId="0" borderId="0" xfId="36" applyFont="1" applyAlignment="1">
      <alignment/>
    </xf>
    <xf numFmtId="43" fontId="42" fillId="0" borderId="47" xfId="41" applyFont="1" applyBorder="1" applyAlignment="1">
      <alignment horizontal="center"/>
    </xf>
    <xf numFmtId="4" fontId="45" fillId="0" borderId="0" xfId="51" applyNumberFormat="1" applyFont="1" applyAlignment="1">
      <alignment vertical="center"/>
      <protection/>
    </xf>
    <xf numFmtId="43" fontId="9" fillId="19" borderId="37" xfId="42" applyFont="1" applyFill="1" applyBorder="1" applyAlignment="1">
      <alignment horizontal="center"/>
    </xf>
    <xf numFmtId="0" fontId="45" fillId="16" borderId="0" xfId="51" applyFont="1" applyFill="1">
      <alignment/>
      <protection/>
    </xf>
    <xf numFmtId="4" fontId="45" fillId="16" borderId="0" xfId="51" applyNumberFormat="1" applyFont="1" applyFill="1" applyAlignment="1">
      <alignment vertical="center"/>
      <protection/>
    </xf>
    <xf numFmtId="43" fontId="0" fillId="0" borderId="0" xfId="36" applyFont="1" applyAlignment="1">
      <alignment/>
    </xf>
    <xf numFmtId="43" fontId="86" fillId="33" borderId="0" xfId="36" applyFont="1" applyFill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1" fillId="0" borderId="21" xfId="0" applyFont="1" applyBorder="1" applyAlignment="1">
      <alignment horizontal="center"/>
    </xf>
    <xf numFmtId="0" fontId="110" fillId="0" borderId="45" xfId="0" applyFont="1" applyBorder="1" applyAlignment="1">
      <alignment/>
    </xf>
    <xf numFmtId="0" fontId="110" fillId="0" borderId="38" xfId="0" applyFont="1" applyBorder="1" applyAlignment="1">
      <alignment/>
    </xf>
    <xf numFmtId="0" fontId="110" fillId="0" borderId="37" xfId="0" applyFont="1" applyBorder="1" applyAlignment="1">
      <alignment/>
    </xf>
    <xf numFmtId="0" fontId="110" fillId="0" borderId="13" xfId="0" applyFont="1" applyBorder="1" applyAlignment="1">
      <alignment/>
    </xf>
    <xf numFmtId="0" fontId="110" fillId="0" borderId="42" xfId="0" applyFont="1" applyBorder="1" applyAlignment="1">
      <alignment/>
    </xf>
    <xf numFmtId="0" fontId="110" fillId="0" borderId="41" xfId="0" applyFont="1" applyBorder="1" applyAlignment="1">
      <alignment/>
    </xf>
    <xf numFmtId="193" fontId="110" fillId="0" borderId="38" xfId="36" applyNumberFormat="1" applyFont="1" applyBorder="1" applyAlignment="1">
      <alignment/>
    </xf>
    <xf numFmtId="193" fontId="110" fillId="0" borderId="37" xfId="36" applyNumberFormat="1" applyFont="1" applyBorder="1" applyAlignment="1">
      <alignment/>
    </xf>
    <xf numFmtId="0" fontId="110" fillId="0" borderId="38" xfId="0" applyFont="1" applyBorder="1" applyAlignment="1">
      <alignment horizontal="center"/>
    </xf>
    <xf numFmtId="0" fontId="110" fillId="0" borderId="37" xfId="0" applyFont="1" applyBorder="1" applyAlignment="1">
      <alignment horizontal="center"/>
    </xf>
    <xf numFmtId="193" fontId="111" fillId="0" borderId="41" xfId="36" applyNumberFormat="1" applyFont="1" applyBorder="1" applyAlignment="1">
      <alignment/>
    </xf>
    <xf numFmtId="0" fontId="111" fillId="0" borderId="42" xfId="0" applyFont="1" applyBorder="1" applyAlignment="1">
      <alignment/>
    </xf>
    <xf numFmtId="0" fontId="111" fillId="0" borderId="42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47" fillId="0" borderId="0" xfId="52" applyFont="1" applyFill="1" applyAlignment="1">
      <alignment/>
      <protection/>
    </xf>
    <xf numFmtId="17" fontId="47" fillId="0" borderId="0" xfId="52" applyNumberFormat="1" applyFont="1" applyFill="1" applyAlignment="1">
      <alignment horizontal="center"/>
      <protection/>
    </xf>
    <xf numFmtId="17" fontId="113" fillId="33" borderId="0" xfId="52" applyNumberFormat="1" applyFont="1" applyFill="1" applyBorder="1" applyAlignment="1">
      <alignment horizontal="center"/>
      <protection/>
    </xf>
    <xf numFmtId="0" fontId="48" fillId="0" borderId="0" xfId="52" applyFont="1">
      <alignment/>
      <protection/>
    </xf>
    <xf numFmtId="17" fontId="47" fillId="0" borderId="0" xfId="52" applyNumberFormat="1" applyFont="1" applyFill="1" applyBorder="1" applyAlignment="1">
      <alignment horizontal="center"/>
      <protection/>
    </xf>
    <xf numFmtId="43" fontId="48" fillId="0" borderId="0" xfId="38" applyFont="1" applyAlignment="1">
      <alignment/>
    </xf>
    <xf numFmtId="0" fontId="113" fillId="33" borderId="0" xfId="52" applyFont="1" applyFill="1" applyBorder="1" applyAlignment="1">
      <alignment horizontal="center"/>
      <protection/>
    </xf>
    <xf numFmtId="0" fontId="47" fillId="0" borderId="52" xfId="52" applyFont="1" applyFill="1" applyBorder="1" applyAlignment="1">
      <alignment/>
      <protection/>
    </xf>
    <xf numFmtId="0" fontId="48" fillId="0" borderId="52" xfId="52" applyFont="1" applyFill="1" applyBorder="1" applyAlignment="1">
      <alignment/>
      <protection/>
    </xf>
    <xf numFmtId="0" fontId="113" fillId="33" borderId="0" xfId="52" applyFont="1" applyFill="1" applyBorder="1" applyAlignment="1">
      <alignment/>
      <protection/>
    </xf>
    <xf numFmtId="0" fontId="47" fillId="0" borderId="53" xfId="52" applyFont="1" applyFill="1" applyBorder="1" applyAlignment="1">
      <alignment/>
      <protection/>
    </xf>
    <xf numFmtId="0" fontId="47" fillId="0" borderId="53" xfId="52" applyFont="1" applyFill="1" applyBorder="1" applyAlignment="1">
      <alignment horizontal="center"/>
      <protection/>
    </xf>
    <xf numFmtId="0" fontId="47" fillId="0" borderId="54" xfId="52" applyFont="1" applyFill="1" applyBorder="1" applyAlignment="1">
      <alignment horizontal="center"/>
      <protection/>
    </xf>
    <xf numFmtId="0" fontId="47" fillId="0" borderId="43" xfId="52" applyFont="1" applyFill="1" applyBorder="1" applyAlignment="1">
      <alignment horizontal="center"/>
      <protection/>
    </xf>
    <xf numFmtId="0" fontId="47" fillId="0" borderId="37" xfId="52" applyFont="1" applyFill="1" applyBorder="1" applyAlignment="1">
      <alignment horizontal="center"/>
      <protection/>
    </xf>
    <xf numFmtId="0" fontId="47" fillId="0" borderId="39" xfId="52" applyFont="1" applyFill="1" applyBorder="1" applyAlignment="1">
      <alignment horizontal="center"/>
      <protection/>
    </xf>
    <xf numFmtId="0" fontId="47" fillId="0" borderId="38" xfId="52" applyFont="1" applyFill="1" applyBorder="1" applyAlignment="1">
      <alignment horizontal="center"/>
      <protection/>
    </xf>
    <xf numFmtId="0" fontId="47" fillId="0" borderId="50" xfId="52" applyFont="1" applyFill="1" applyBorder="1" applyAlignment="1">
      <alignment horizontal="center"/>
      <protection/>
    </xf>
    <xf numFmtId="0" fontId="47" fillId="0" borderId="49" xfId="52" applyFont="1" applyFill="1" applyBorder="1" applyAlignment="1">
      <alignment/>
      <protection/>
    </xf>
    <xf numFmtId="0" fontId="47" fillId="0" borderId="49" xfId="52" applyFont="1" applyFill="1" applyBorder="1" applyAlignment="1">
      <alignment horizontal="center"/>
      <protection/>
    </xf>
    <xf numFmtId="0" fontId="113" fillId="33" borderId="0" xfId="52" applyFont="1" applyFill="1" applyBorder="1">
      <alignment/>
      <protection/>
    </xf>
    <xf numFmtId="0" fontId="47" fillId="0" borderId="55" xfId="52" applyFont="1" applyBorder="1">
      <alignment/>
      <protection/>
    </xf>
    <xf numFmtId="43" fontId="47" fillId="0" borderId="55" xfId="38" applyFont="1" applyBorder="1" applyAlignment="1">
      <alignment/>
    </xf>
    <xf numFmtId="0" fontId="47" fillId="0" borderId="13" xfId="52" applyFont="1" applyBorder="1">
      <alignment/>
      <protection/>
    </xf>
    <xf numFmtId="0" fontId="48" fillId="0" borderId="37" xfId="52" applyFont="1" applyBorder="1">
      <alignment/>
      <protection/>
    </xf>
    <xf numFmtId="43" fontId="47" fillId="0" borderId="37" xfId="38" applyFont="1" applyBorder="1" applyAlignment="1">
      <alignment/>
    </xf>
    <xf numFmtId="43" fontId="114" fillId="33" borderId="0" xfId="38" applyFont="1" applyFill="1" applyBorder="1" applyAlignment="1">
      <alignment/>
    </xf>
    <xf numFmtId="43" fontId="48" fillId="0" borderId="0" xfId="52" applyNumberFormat="1" applyFont="1">
      <alignment/>
      <protection/>
    </xf>
    <xf numFmtId="0" fontId="47" fillId="0" borderId="37" xfId="52" applyFont="1" applyBorder="1">
      <alignment/>
      <protection/>
    </xf>
    <xf numFmtId="43" fontId="47" fillId="0" borderId="37" xfId="38" applyFont="1" applyBorder="1" applyAlignment="1">
      <alignment horizontal="center"/>
    </xf>
    <xf numFmtId="0" fontId="49" fillId="0" borderId="13" xfId="52" applyFont="1" applyBorder="1">
      <alignment/>
      <protection/>
    </xf>
    <xf numFmtId="49" fontId="48" fillId="0" borderId="37" xfId="52" applyNumberFormat="1" applyFont="1" applyBorder="1" applyAlignment="1">
      <alignment horizontal="center"/>
      <protection/>
    </xf>
    <xf numFmtId="43" fontId="113" fillId="33" borderId="0" xfId="38" applyFont="1" applyFill="1" applyBorder="1" applyAlignment="1">
      <alignment/>
    </xf>
    <xf numFmtId="43" fontId="47" fillId="33" borderId="37" xfId="38" applyFont="1" applyFill="1" applyBorder="1" applyAlignment="1">
      <alignment/>
    </xf>
    <xf numFmtId="43" fontId="47" fillId="34" borderId="37" xfId="38" applyFont="1" applyFill="1" applyBorder="1" applyAlignment="1">
      <alignment/>
    </xf>
    <xf numFmtId="43" fontId="113" fillId="33" borderId="0" xfId="38" applyFont="1" applyFill="1" applyBorder="1" applyAlignment="1">
      <alignment horizontal="center"/>
    </xf>
    <xf numFmtId="43" fontId="113" fillId="33" borderId="37" xfId="38" applyFont="1" applyFill="1" applyBorder="1" applyAlignment="1">
      <alignment horizontal="center"/>
    </xf>
    <xf numFmtId="43" fontId="47" fillId="34" borderId="37" xfId="38" applyFont="1" applyFill="1" applyBorder="1" applyAlignment="1">
      <alignment horizontal="center"/>
    </xf>
    <xf numFmtId="43" fontId="47" fillId="6" borderId="37" xfId="38" applyFont="1" applyFill="1" applyBorder="1" applyAlignment="1">
      <alignment horizontal="center"/>
    </xf>
    <xf numFmtId="43" fontId="47" fillId="35" borderId="37" xfId="38" applyFont="1" applyFill="1" applyBorder="1" applyAlignment="1">
      <alignment/>
    </xf>
    <xf numFmtId="43" fontId="47" fillId="33" borderId="37" xfId="38" applyFont="1" applyFill="1" applyBorder="1" applyAlignment="1">
      <alignment horizontal="center"/>
    </xf>
    <xf numFmtId="43" fontId="47" fillId="36" borderId="37" xfId="38" applyFont="1" applyFill="1" applyBorder="1" applyAlignment="1">
      <alignment horizontal="center"/>
    </xf>
    <xf numFmtId="0" fontId="47" fillId="0" borderId="0" xfId="52" applyFont="1" applyBorder="1">
      <alignment/>
      <protection/>
    </xf>
    <xf numFmtId="43" fontId="47" fillId="0" borderId="49" xfId="38" applyFont="1" applyBorder="1" applyAlignment="1">
      <alignment/>
    </xf>
    <xf numFmtId="43" fontId="47" fillId="0" borderId="0" xfId="38" applyFont="1" applyBorder="1" applyAlignment="1">
      <alignment/>
    </xf>
    <xf numFmtId="43" fontId="47" fillId="0" borderId="21" xfId="38" applyFont="1" applyBorder="1" applyAlignment="1">
      <alignment/>
    </xf>
    <xf numFmtId="0" fontId="47" fillId="0" borderId="38" xfId="52" applyFont="1" applyBorder="1">
      <alignment/>
      <protection/>
    </xf>
    <xf numFmtId="49" fontId="48" fillId="0" borderId="38" xfId="52" applyNumberFormat="1" applyFont="1" applyBorder="1" applyAlignment="1">
      <alignment horizontal="center"/>
      <protection/>
    </xf>
    <xf numFmtId="0" fontId="47" fillId="0" borderId="0" xfId="52" applyFont="1" applyBorder="1" applyAlignment="1">
      <alignment horizontal="center"/>
      <protection/>
    </xf>
    <xf numFmtId="0" fontId="48" fillId="0" borderId="42" xfId="52" applyFont="1" applyBorder="1">
      <alignment/>
      <protection/>
    </xf>
    <xf numFmtId="43" fontId="47" fillId="0" borderId="0" xfId="52" applyNumberFormat="1" applyFont="1" applyBorder="1">
      <alignment/>
      <protection/>
    </xf>
    <xf numFmtId="0" fontId="48" fillId="0" borderId="0" xfId="52" applyFont="1" applyBorder="1">
      <alignment/>
      <protection/>
    </xf>
    <xf numFmtId="43" fontId="47" fillId="0" borderId="13" xfId="52" applyNumberFormat="1" applyFont="1" applyBorder="1">
      <alignment/>
      <protection/>
    </xf>
    <xf numFmtId="43" fontId="113" fillId="33" borderId="0" xfId="52" applyNumberFormat="1" applyFont="1" applyFill="1" applyBorder="1">
      <alignment/>
      <protection/>
    </xf>
    <xf numFmtId="0" fontId="47" fillId="0" borderId="52" xfId="52" applyFont="1" applyFill="1" applyBorder="1" applyAlignment="1">
      <alignment horizontal="right"/>
      <protection/>
    </xf>
    <xf numFmtId="0" fontId="113" fillId="33" borderId="0" xfId="52" applyFont="1" applyFill="1" applyBorder="1" applyAlignment="1">
      <alignment horizontal="right"/>
      <protection/>
    </xf>
    <xf numFmtId="17" fontId="47" fillId="0" borderId="56" xfId="52" applyNumberFormat="1" applyFont="1" applyFill="1" applyBorder="1" applyAlignment="1">
      <alignment horizontal="right"/>
      <protection/>
    </xf>
    <xf numFmtId="0" fontId="47" fillId="0" borderId="57" xfId="52" applyFont="1" applyFill="1" applyBorder="1" applyAlignment="1">
      <alignment horizontal="center" vertical="center"/>
      <protection/>
    </xf>
    <xf numFmtId="0" fontId="47" fillId="0" borderId="58" xfId="52" applyFont="1" applyFill="1" applyBorder="1" applyAlignment="1">
      <alignment horizontal="center" vertical="center"/>
      <protection/>
    </xf>
    <xf numFmtId="0" fontId="47" fillId="0" borderId="53" xfId="52" applyFont="1" applyFill="1" applyBorder="1" applyAlignment="1">
      <alignment vertical="center"/>
      <protection/>
    </xf>
    <xf numFmtId="0" fontId="47" fillId="0" borderId="55" xfId="52" applyFont="1" applyFill="1" applyBorder="1" applyAlignment="1">
      <alignment horizontal="center" vertical="center"/>
      <protection/>
    </xf>
    <xf numFmtId="0" fontId="47" fillId="0" borderId="54" xfId="52" applyFont="1" applyFill="1" applyBorder="1" applyAlignment="1">
      <alignment horizontal="center" vertical="center"/>
      <protection/>
    </xf>
    <xf numFmtId="0" fontId="113" fillId="33" borderId="0" xfId="52" applyFont="1" applyFill="1" applyBorder="1" applyAlignment="1">
      <alignment horizontal="center" vertical="center"/>
      <protection/>
    </xf>
    <xf numFmtId="0" fontId="47" fillId="0" borderId="55" xfId="52" applyFont="1" applyFill="1" applyBorder="1" applyAlignment="1">
      <alignment vertical="center"/>
      <protection/>
    </xf>
    <xf numFmtId="0" fontId="47" fillId="0" borderId="59" xfId="52" applyFont="1" applyFill="1" applyBorder="1" applyAlignment="1">
      <alignment horizontal="center" vertical="center"/>
      <protection/>
    </xf>
    <xf numFmtId="0" fontId="47" fillId="0" borderId="43" xfId="52" applyFont="1" applyFill="1" applyBorder="1" applyAlignment="1">
      <alignment horizontal="center" vertical="center"/>
      <protection/>
    </xf>
    <xf numFmtId="0" fontId="47" fillId="0" borderId="37" xfId="52" applyFont="1" applyFill="1" applyBorder="1" applyAlignment="1">
      <alignment horizontal="center" vertical="center"/>
      <protection/>
    </xf>
    <xf numFmtId="0" fontId="47" fillId="0" borderId="50" xfId="52" applyFont="1" applyFill="1" applyBorder="1" applyAlignment="1">
      <alignment horizontal="center" vertical="center"/>
      <protection/>
    </xf>
    <xf numFmtId="0" fontId="47" fillId="0" borderId="38" xfId="52" applyFont="1" applyFill="1" applyBorder="1" applyAlignment="1">
      <alignment horizontal="center" vertical="center"/>
      <protection/>
    </xf>
    <xf numFmtId="0" fontId="47" fillId="0" borderId="13" xfId="52" applyFont="1" applyFill="1" applyBorder="1" applyAlignment="1">
      <alignment horizontal="center" vertical="center"/>
      <protection/>
    </xf>
    <xf numFmtId="0" fontId="47" fillId="0" borderId="45" xfId="52" applyFont="1" applyFill="1" applyBorder="1" applyAlignment="1">
      <alignment horizontal="center" vertical="center"/>
      <protection/>
    </xf>
    <xf numFmtId="0" fontId="47" fillId="0" borderId="49" xfId="52" applyFont="1" applyFill="1" applyBorder="1" applyAlignment="1">
      <alignment vertical="center"/>
      <protection/>
    </xf>
    <xf numFmtId="0" fontId="47" fillId="0" borderId="49" xfId="52" applyFont="1" applyFill="1" applyBorder="1" applyAlignment="1">
      <alignment horizontal="center" vertical="center"/>
      <protection/>
    </xf>
    <xf numFmtId="0" fontId="47" fillId="0" borderId="56" xfId="52" applyFont="1" applyFill="1" applyBorder="1" applyAlignment="1">
      <alignment horizontal="center" vertical="center"/>
      <protection/>
    </xf>
    <xf numFmtId="0" fontId="49" fillId="0" borderId="0" xfId="52" applyFont="1" applyBorder="1">
      <alignment/>
      <protection/>
    </xf>
    <xf numFmtId="0" fontId="48" fillId="0" borderId="39" xfId="52" applyFont="1" applyBorder="1">
      <alignment/>
      <protection/>
    </xf>
    <xf numFmtId="49" fontId="48" fillId="0" borderId="37" xfId="52" applyNumberFormat="1" applyFont="1" applyBorder="1">
      <alignment/>
      <protection/>
    </xf>
    <xf numFmtId="43" fontId="47" fillId="0" borderId="37" xfId="38" applyFont="1" applyFill="1" applyBorder="1" applyAlignment="1">
      <alignment horizontal="center"/>
    </xf>
    <xf numFmtId="43" fontId="48" fillId="34" borderId="0" xfId="38" applyFont="1" applyFill="1" applyAlignment="1">
      <alignment/>
    </xf>
    <xf numFmtId="0" fontId="47" fillId="0" borderId="0" xfId="52" applyFont="1" applyBorder="1" applyAlignment="1">
      <alignment horizontal="left"/>
      <protection/>
    </xf>
    <xf numFmtId="49" fontId="48" fillId="0" borderId="42" xfId="52" applyNumberFormat="1" applyFont="1" applyBorder="1">
      <alignment/>
      <protection/>
    </xf>
    <xf numFmtId="43" fontId="47" fillId="0" borderId="42" xfId="38" applyFont="1" applyBorder="1" applyAlignment="1">
      <alignment/>
    </xf>
    <xf numFmtId="0" fontId="47" fillId="0" borderId="37" xfId="52" applyFont="1" applyBorder="1" applyAlignment="1">
      <alignment horizontal="left"/>
      <protection/>
    </xf>
    <xf numFmtId="49" fontId="48" fillId="0" borderId="13" xfId="52" applyNumberFormat="1" applyFont="1" applyBorder="1">
      <alignment/>
      <protection/>
    </xf>
    <xf numFmtId="43" fontId="47" fillId="0" borderId="13" xfId="38" applyFont="1" applyBorder="1" applyAlignment="1">
      <alignment/>
    </xf>
    <xf numFmtId="49" fontId="48" fillId="0" borderId="41" xfId="52" applyNumberFormat="1" applyFont="1" applyBorder="1">
      <alignment/>
      <protection/>
    </xf>
    <xf numFmtId="0" fontId="47" fillId="0" borderId="39" xfId="52" applyFont="1" applyBorder="1" applyAlignment="1">
      <alignment horizontal="left"/>
      <protection/>
    </xf>
    <xf numFmtId="43" fontId="47" fillId="0" borderId="44" xfId="38" applyFont="1" applyBorder="1" applyAlignment="1">
      <alignment/>
    </xf>
    <xf numFmtId="43" fontId="47" fillId="0" borderId="44" xfId="38" applyNumberFormat="1" applyFont="1" applyBorder="1" applyAlignment="1">
      <alignment/>
    </xf>
    <xf numFmtId="43" fontId="113" fillId="33" borderId="0" xfId="38" applyNumberFormat="1" applyFont="1" applyFill="1" applyBorder="1" applyAlignment="1">
      <alignment/>
    </xf>
    <xf numFmtId="43" fontId="47" fillId="0" borderId="49" xfId="38" applyFont="1" applyFill="1" applyBorder="1" applyAlignment="1">
      <alignment/>
    </xf>
    <xf numFmtId="0" fontId="47" fillId="0" borderId="0" xfId="52" applyFont="1" applyFill="1" applyBorder="1" applyAlignment="1">
      <alignment horizontal="center"/>
      <protection/>
    </xf>
    <xf numFmtId="49" fontId="48" fillId="0" borderId="13" xfId="52" applyNumberFormat="1" applyFont="1" applyFill="1" applyBorder="1">
      <alignment/>
      <protection/>
    </xf>
    <xf numFmtId="197" fontId="47" fillId="0" borderId="37" xfId="38" applyNumberFormat="1" applyFont="1" applyFill="1" applyBorder="1" applyAlignment="1">
      <alignment horizontal="right"/>
    </xf>
    <xf numFmtId="197" fontId="113" fillId="33" borderId="0" xfId="38" applyNumberFormat="1" applyFont="1" applyFill="1" applyBorder="1" applyAlignment="1">
      <alignment horizontal="right"/>
    </xf>
    <xf numFmtId="43" fontId="47" fillId="0" borderId="54" xfId="38" applyFont="1" applyFill="1" applyBorder="1" applyAlignment="1">
      <alignment/>
    </xf>
    <xf numFmtId="40" fontId="47" fillId="0" borderId="37" xfId="38" applyNumberFormat="1" applyFont="1" applyFill="1" applyBorder="1" applyAlignment="1">
      <alignment/>
    </xf>
    <xf numFmtId="40" fontId="113" fillId="33" borderId="0" xfId="38" applyNumberFormat="1" applyFont="1" applyFill="1" applyBorder="1" applyAlignment="1">
      <alignment/>
    </xf>
    <xf numFmtId="43" fontId="47" fillId="0" borderId="38" xfId="38" applyFont="1" applyFill="1" applyBorder="1" applyAlignment="1">
      <alignment/>
    </xf>
    <xf numFmtId="49" fontId="48" fillId="0" borderId="0" xfId="52" applyNumberFormat="1" applyFont="1" applyFill="1" applyBorder="1">
      <alignment/>
      <protection/>
    </xf>
    <xf numFmtId="40" fontId="47" fillId="0" borderId="44" xfId="38" applyNumberFormat="1" applyFont="1" applyFill="1" applyBorder="1" applyAlignment="1">
      <alignment/>
    </xf>
    <xf numFmtId="0" fontId="47" fillId="0" borderId="0" xfId="52" applyFont="1">
      <alignment/>
      <protection/>
    </xf>
    <xf numFmtId="43" fontId="47" fillId="0" borderId="0" xfId="38" applyFont="1" applyAlignment="1">
      <alignment/>
    </xf>
    <xf numFmtId="197" fontId="47" fillId="0" borderId="0" xfId="52" applyNumberFormat="1" applyFont="1">
      <alignment/>
      <protection/>
    </xf>
    <xf numFmtId="0" fontId="7" fillId="0" borderId="0" xfId="49" applyFont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3" borderId="0" xfId="49" applyFont="1" applyFill="1" applyBorder="1" applyAlignment="1">
      <alignment horizontal="center"/>
      <protection/>
    </xf>
    <xf numFmtId="0" fontId="111" fillId="0" borderId="21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15" fillId="0" borderId="23" xfId="0" applyFont="1" applyBorder="1" applyAlignment="1">
      <alignment horizontal="center"/>
    </xf>
    <xf numFmtId="0" fontId="41" fillId="0" borderId="0" xfId="52" applyFont="1" applyAlignment="1">
      <alignment horizontal="center"/>
      <protection/>
    </xf>
    <xf numFmtId="43" fontId="42" fillId="0" borderId="40" xfId="52" applyNumberFormat="1" applyFont="1" applyBorder="1" applyAlignment="1">
      <alignment horizontal="center"/>
      <protection/>
    </xf>
    <xf numFmtId="43" fontId="42" fillId="0" borderId="41" xfId="52" applyNumberFormat="1" applyFont="1" applyBorder="1" applyAlignment="1">
      <alignment horizontal="center"/>
      <protection/>
    </xf>
    <xf numFmtId="43" fontId="42" fillId="0" borderId="40" xfId="36" applyFont="1" applyBorder="1" applyAlignment="1">
      <alignment horizontal="center"/>
    </xf>
    <xf numFmtId="43" fontId="42" fillId="0" borderId="41" xfId="36" applyFont="1" applyBorder="1" applyAlignment="1">
      <alignment horizontal="center"/>
    </xf>
    <xf numFmtId="43" fontId="42" fillId="34" borderId="39" xfId="52" applyNumberFormat="1" applyFont="1" applyFill="1" applyBorder="1" applyAlignment="1">
      <alignment/>
      <protection/>
    </xf>
    <xf numFmtId="43" fontId="42" fillId="34" borderId="13" xfId="52" applyNumberFormat="1" applyFont="1" applyFill="1" applyBorder="1" applyAlignment="1">
      <alignment/>
      <protection/>
    </xf>
    <xf numFmtId="43" fontId="41" fillId="0" borderId="60" xfId="52" applyNumberFormat="1" applyFont="1" applyBorder="1" applyAlignment="1">
      <alignment/>
      <protection/>
    </xf>
    <xf numFmtId="43" fontId="41" fillId="0" borderId="61" xfId="52" applyNumberFormat="1" applyFont="1" applyBorder="1" applyAlignment="1">
      <alignment/>
      <protection/>
    </xf>
    <xf numFmtId="43" fontId="42" fillId="0" borderId="39" xfId="52" applyNumberFormat="1" applyFont="1" applyBorder="1" applyAlignment="1">
      <alignment horizontal="center"/>
      <protection/>
    </xf>
    <xf numFmtId="43" fontId="42" fillId="0" borderId="13" xfId="52" applyNumberFormat="1" applyFont="1" applyBorder="1" applyAlignment="1">
      <alignment horizontal="center"/>
      <protection/>
    </xf>
    <xf numFmtId="43" fontId="42" fillId="0" borderId="39" xfId="36" applyFont="1" applyBorder="1" applyAlignment="1">
      <alignment horizontal="center"/>
    </xf>
    <xf numFmtId="43" fontId="42" fillId="0" borderId="13" xfId="36" applyFont="1" applyBorder="1" applyAlignment="1">
      <alignment horizontal="center"/>
    </xf>
    <xf numFmtId="43" fontId="42" fillId="0" borderId="39" xfId="52" applyNumberFormat="1" applyFont="1" applyBorder="1" applyAlignment="1">
      <alignment/>
      <protection/>
    </xf>
    <xf numFmtId="43" fontId="42" fillId="0" borderId="13" xfId="52" applyNumberFormat="1" applyFont="1" applyBorder="1" applyAlignment="1">
      <alignment/>
      <protection/>
    </xf>
    <xf numFmtId="43" fontId="42" fillId="34" borderId="39" xfId="52" applyNumberFormat="1" applyFont="1" applyFill="1" applyBorder="1" applyAlignment="1">
      <alignment horizontal="center"/>
      <protection/>
    </xf>
    <xf numFmtId="43" fontId="42" fillId="34" borderId="13" xfId="52" applyNumberFormat="1" applyFont="1" applyFill="1" applyBorder="1" applyAlignment="1">
      <alignment horizontal="center"/>
      <protection/>
    </xf>
    <xf numFmtId="43" fontId="42" fillId="34" borderId="43" xfId="52" applyNumberFormat="1" applyFont="1" applyFill="1" applyBorder="1" applyAlignment="1">
      <alignment/>
      <protection/>
    </xf>
    <xf numFmtId="43" fontId="42" fillId="34" borderId="45" xfId="52" applyNumberFormat="1" applyFont="1" applyFill="1" applyBorder="1" applyAlignment="1">
      <alignment/>
      <protection/>
    </xf>
    <xf numFmtId="0" fontId="43" fillId="0" borderId="0" xfId="52" applyFont="1" applyAlignment="1">
      <alignment horizontal="center"/>
      <protection/>
    </xf>
    <xf numFmtId="0" fontId="43" fillId="0" borderId="0" xfId="52" applyFont="1" applyBorder="1" applyAlignment="1">
      <alignment horizontal="center"/>
      <protection/>
    </xf>
    <xf numFmtId="0" fontId="41" fillId="0" borderId="35" xfId="52" applyFont="1" applyBorder="1" applyAlignment="1">
      <alignment horizontal="center"/>
      <protection/>
    </xf>
    <xf numFmtId="0" fontId="41" fillId="0" borderId="36" xfId="52" applyFont="1" applyBorder="1" applyAlignment="1">
      <alignment horizontal="center"/>
      <protection/>
    </xf>
    <xf numFmtId="43" fontId="42" fillId="0" borderId="40" xfId="52" applyNumberFormat="1" applyFont="1" applyBorder="1" applyAlignment="1">
      <alignment/>
      <protection/>
    </xf>
    <xf numFmtId="43" fontId="42" fillId="0" borderId="41" xfId="52" applyNumberFormat="1" applyFont="1" applyBorder="1" applyAlignment="1">
      <alignment/>
      <protection/>
    </xf>
    <xf numFmtId="43" fontId="42" fillId="0" borderId="43" xfId="52" applyNumberFormat="1" applyFont="1" applyBorder="1" applyAlignment="1">
      <alignment/>
      <protection/>
    </xf>
    <xf numFmtId="43" fontId="42" fillId="0" borderId="45" xfId="52" applyNumberFormat="1" applyFont="1" applyBorder="1" applyAlignment="1">
      <alignment/>
      <protection/>
    </xf>
    <xf numFmtId="43" fontId="42" fillId="0" borderId="43" xfId="52" applyNumberFormat="1" applyFont="1" applyBorder="1" applyAlignment="1">
      <alignment horizontal="center"/>
      <protection/>
    </xf>
    <xf numFmtId="43" fontId="42" fillId="0" borderId="45" xfId="52" applyNumberFormat="1" applyFont="1" applyBorder="1" applyAlignment="1">
      <alignment horizontal="center"/>
      <protection/>
    </xf>
    <xf numFmtId="0" fontId="43" fillId="0" borderId="13" xfId="52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43" fillId="0" borderId="62" xfId="52" applyFont="1" applyBorder="1" applyAlignment="1">
      <alignment horizontal="center"/>
      <protection/>
    </xf>
    <xf numFmtId="0" fontId="43" fillId="0" borderId="47" xfId="52" applyFont="1" applyBorder="1" applyAlignment="1">
      <alignment/>
      <protection/>
    </xf>
    <xf numFmtId="0" fontId="42" fillId="0" borderId="47" xfId="52" applyFont="1" applyBorder="1" applyAlignment="1">
      <alignment horizontal="center"/>
      <protection/>
    </xf>
    <xf numFmtId="49" fontId="42" fillId="0" borderId="47" xfId="52" applyNumberFormat="1" applyFont="1" applyBorder="1" applyAlignment="1">
      <alignment horizontal="left"/>
      <protection/>
    </xf>
    <xf numFmtId="43" fontId="42" fillId="0" borderId="47" xfId="41" applyFont="1" applyBorder="1" applyAlignment="1">
      <alignment horizontal="center"/>
    </xf>
    <xf numFmtId="49" fontId="43" fillId="0" borderId="47" xfId="52" applyNumberFormat="1" applyFont="1" applyBorder="1" applyAlignment="1">
      <alignment horizontal="left"/>
      <protection/>
    </xf>
    <xf numFmtId="49" fontId="43" fillId="0" borderId="47" xfId="52" applyNumberFormat="1" applyFont="1" applyBorder="1" applyAlignment="1">
      <alignment/>
      <protection/>
    </xf>
    <xf numFmtId="49" fontId="42" fillId="0" borderId="47" xfId="52" applyNumberFormat="1" applyFont="1" applyBorder="1" applyAlignment="1">
      <alignment/>
      <protection/>
    </xf>
    <xf numFmtId="0" fontId="41" fillId="0" borderId="62" xfId="52" applyFont="1" applyBorder="1" applyAlignment="1">
      <alignment horizontal="left"/>
      <protection/>
    </xf>
    <xf numFmtId="0" fontId="43" fillId="0" borderId="62" xfId="52" applyFont="1" applyBorder="1" applyAlignment="1">
      <alignment horizontal="left"/>
      <protection/>
    </xf>
    <xf numFmtId="0" fontId="42" fillId="0" borderId="47" xfId="52" applyFont="1" applyBorder="1" applyAlignment="1">
      <alignment horizontal="left"/>
      <protection/>
    </xf>
    <xf numFmtId="43" fontId="42" fillId="0" borderId="63" xfId="41" applyFont="1" applyBorder="1" applyAlignment="1">
      <alignment horizontal="center"/>
    </xf>
    <xf numFmtId="43" fontId="41" fillId="0" borderId="46" xfId="41" applyFont="1" applyBorder="1" applyAlignment="1">
      <alignment horizontal="right"/>
    </xf>
    <xf numFmtId="43" fontId="42" fillId="34" borderId="34" xfId="52" applyNumberFormat="1" applyFont="1" applyFill="1" applyBorder="1" applyAlignment="1">
      <alignment/>
      <protection/>
    </xf>
    <xf numFmtId="43" fontId="42" fillId="34" borderId="0" xfId="52" applyNumberFormat="1" applyFont="1" applyFill="1" applyBorder="1" applyAlignment="1">
      <alignment/>
      <protection/>
    </xf>
    <xf numFmtId="0" fontId="30" fillId="0" borderId="0" xfId="51" applyFont="1" applyAlignment="1">
      <alignment horizontal="center"/>
      <protection/>
    </xf>
    <xf numFmtId="0" fontId="30" fillId="0" borderId="0" xfId="51" applyFont="1" applyAlignment="1">
      <alignment horizontal="left" vertical="center"/>
      <protection/>
    </xf>
    <xf numFmtId="194" fontId="30" fillId="0" borderId="23" xfId="51" applyNumberFormat="1" applyFont="1" applyBorder="1" applyAlignment="1">
      <alignment horizontal="left"/>
      <protection/>
    </xf>
    <xf numFmtId="0" fontId="7" fillId="0" borderId="38" xfId="51" applyFont="1" applyBorder="1" applyAlignment="1" applyProtection="1">
      <alignment horizontal="center" vertical="center"/>
      <protection hidden="1"/>
    </xf>
    <xf numFmtId="0" fontId="7" fillId="0" borderId="42" xfId="51" applyFont="1" applyBorder="1" applyAlignment="1" applyProtection="1">
      <alignment horizontal="center" vertical="center"/>
      <protection hidden="1"/>
    </xf>
    <xf numFmtId="43" fontId="7" fillId="0" borderId="43" xfId="36" applyFont="1" applyBorder="1" applyAlignment="1" applyProtection="1">
      <alignment horizontal="center" vertical="center"/>
      <protection hidden="1"/>
    </xf>
    <xf numFmtId="43" fontId="7" fillId="0" borderId="40" xfId="36" applyFont="1" applyBorder="1" applyAlignment="1" applyProtection="1">
      <alignment horizontal="center" vertical="center"/>
      <protection hidden="1"/>
    </xf>
    <xf numFmtId="0" fontId="7" fillId="0" borderId="38" xfId="51" applyFont="1" applyBorder="1" applyAlignment="1" applyProtection="1">
      <alignment vertical="center"/>
      <protection hidden="1"/>
    </xf>
    <xf numFmtId="0" fontId="7" fillId="0" borderId="42" xfId="51" applyFont="1" applyBorder="1" applyAlignment="1" applyProtection="1">
      <alignment vertical="center"/>
      <protection hidden="1"/>
    </xf>
    <xf numFmtId="194" fontId="30" fillId="0" borderId="23" xfId="51" applyNumberFormat="1" applyFont="1" applyBorder="1" applyAlignment="1">
      <alignment horizontal="center"/>
      <protection/>
    </xf>
    <xf numFmtId="0" fontId="30" fillId="0" borderId="0" xfId="51" applyFont="1" applyAlignment="1">
      <alignment horizontal="center" vertical="center"/>
      <protection/>
    </xf>
    <xf numFmtId="189" fontId="32" fillId="0" borderId="40" xfId="40" applyNumberFormat="1" applyFont="1" applyBorder="1" applyAlignment="1" applyProtection="1">
      <alignment horizontal="left"/>
      <protection/>
    </xf>
    <xf numFmtId="189" fontId="32" fillId="0" borderId="41" xfId="40" applyNumberFormat="1" applyFont="1" applyBorder="1" applyAlignment="1" applyProtection="1">
      <alignment horizontal="left"/>
      <protection/>
    </xf>
    <xf numFmtId="189" fontId="32" fillId="0" borderId="40" xfId="40" applyNumberFormat="1" applyFont="1" applyBorder="1" applyAlignment="1" applyProtection="1">
      <alignment horizontal="center"/>
      <protection/>
    </xf>
    <xf numFmtId="189" fontId="32" fillId="0" borderId="41" xfId="40" applyNumberFormat="1" applyFont="1" applyBorder="1" applyAlignment="1" applyProtection="1">
      <alignment horizontal="center"/>
      <protection/>
    </xf>
    <xf numFmtId="189" fontId="32" fillId="0" borderId="43" xfId="40" applyNumberFormat="1" applyFont="1" applyBorder="1" applyAlignment="1" applyProtection="1">
      <alignment horizontal="right"/>
      <protection/>
    </xf>
    <xf numFmtId="189" fontId="32" fillId="0" borderId="45" xfId="40" applyNumberFormat="1" applyFont="1" applyBorder="1" applyAlignment="1" applyProtection="1">
      <alignment horizontal="right"/>
      <protection/>
    </xf>
    <xf numFmtId="189" fontId="32" fillId="0" borderId="35" xfId="40" applyNumberFormat="1" applyFont="1" applyBorder="1" applyAlignment="1" applyProtection="1">
      <alignment horizontal="center"/>
      <protection/>
    </xf>
    <xf numFmtId="189" fontId="32" fillId="0" borderId="36" xfId="40" applyNumberFormat="1" applyFont="1" applyBorder="1" applyAlignment="1" applyProtection="1">
      <alignment horizontal="center"/>
      <protection/>
    </xf>
    <xf numFmtId="189" fontId="33" fillId="0" borderId="35" xfId="40" applyNumberFormat="1" applyFont="1" applyBorder="1" applyAlignment="1" applyProtection="1">
      <alignment horizontal="center"/>
      <protection/>
    </xf>
    <xf numFmtId="189" fontId="33" fillId="0" borderId="36" xfId="40" applyNumberFormat="1" applyFont="1" applyBorder="1" applyAlignment="1" applyProtection="1">
      <alignment horizontal="center"/>
      <protection/>
    </xf>
    <xf numFmtId="189" fontId="9" fillId="0" borderId="35" xfId="40" applyNumberFormat="1" applyFont="1" applyBorder="1" applyAlignment="1" applyProtection="1">
      <alignment horizontal="center"/>
      <protection/>
    </xf>
    <xf numFmtId="189" fontId="9" fillId="0" borderId="25" xfId="40" applyNumberFormat="1" applyFont="1" applyBorder="1" applyAlignment="1" applyProtection="1">
      <alignment horizontal="center"/>
      <protection/>
    </xf>
    <xf numFmtId="189" fontId="9" fillId="0" borderId="36" xfId="40" applyNumberFormat="1" applyFont="1" applyBorder="1" applyAlignment="1" applyProtection="1">
      <alignment horizontal="center"/>
      <protection/>
    </xf>
    <xf numFmtId="189" fontId="35" fillId="0" borderId="35" xfId="40" applyNumberFormat="1" applyFont="1" applyBorder="1" applyAlignment="1" applyProtection="1">
      <alignment horizontal="center"/>
      <protection/>
    </xf>
    <xf numFmtId="189" fontId="35" fillId="0" borderId="36" xfId="40" applyNumberFormat="1" applyFont="1" applyBorder="1" applyAlignment="1" applyProtection="1">
      <alignment horizontal="center"/>
      <protection/>
    </xf>
    <xf numFmtId="189" fontId="4" fillId="0" borderId="35" xfId="40" applyNumberFormat="1" applyFont="1" applyBorder="1" applyAlignment="1" applyProtection="1">
      <alignment horizontal="center"/>
      <protection/>
    </xf>
    <xf numFmtId="189" fontId="4" fillId="0" borderId="36" xfId="40" applyNumberFormat="1" applyFont="1" applyBorder="1" applyAlignment="1" applyProtection="1">
      <alignment horizontal="center"/>
      <protection/>
    </xf>
    <xf numFmtId="189" fontId="32" fillId="0" borderId="43" xfId="40" applyNumberFormat="1" applyFont="1" applyBorder="1" applyAlignment="1" applyProtection="1">
      <alignment horizontal="center"/>
      <protection/>
    </xf>
    <xf numFmtId="189" fontId="32" fillId="0" borderId="45" xfId="40" applyNumberFormat="1" applyFont="1" applyBorder="1" applyAlignment="1" applyProtection="1">
      <alignment horizontal="center"/>
      <protection/>
    </xf>
    <xf numFmtId="189" fontId="7" fillId="0" borderId="0" xfId="40" applyNumberFormat="1" applyFont="1" applyAlignment="1" applyProtection="1">
      <alignment horizontal="center"/>
      <protection/>
    </xf>
    <xf numFmtId="189" fontId="7" fillId="34" borderId="0" xfId="40" applyNumberFormat="1" applyFont="1" applyFill="1" applyAlignment="1" applyProtection="1">
      <alignment horizontal="center"/>
      <protection/>
    </xf>
    <xf numFmtId="0" fontId="11" fillId="0" borderId="24" xfId="50" applyFont="1" applyBorder="1" applyAlignment="1">
      <alignment horizontal="center"/>
      <protection/>
    </xf>
    <xf numFmtId="0" fontId="11" fillId="0" borderId="14" xfId="50" applyFont="1" applyBorder="1" applyAlignment="1">
      <alignment horizontal="center"/>
      <protection/>
    </xf>
    <xf numFmtId="0" fontId="11" fillId="0" borderId="32" xfId="50" applyFont="1" applyBorder="1" applyAlignment="1">
      <alignment horizontal="center"/>
      <protection/>
    </xf>
    <xf numFmtId="0" fontId="11" fillId="0" borderId="30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8" xfId="50" applyFont="1" applyBorder="1" applyAlignment="1">
      <alignment horizontal="center"/>
      <protection/>
    </xf>
    <xf numFmtId="0" fontId="11" fillId="0" borderId="0" xfId="50" applyFont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2" xfId="49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43" fontId="5" fillId="0" borderId="10" xfId="49" applyNumberFormat="1" applyFont="1" applyBorder="1" applyAlignment="1">
      <alignment horizontal="center" vertical="center"/>
      <protection/>
    </xf>
    <xf numFmtId="43" fontId="5" fillId="0" borderId="11" xfId="49" applyNumberFormat="1" applyFont="1" applyBorder="1" applyAlignment="1">
      <alignment horizontal="center" vertical="center"/>
      <protection/>
    </xf>
    <xf numFmtId="43" fontId="5" fillId="0" borderId="12" xfId="49" applyNumberFormat="1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 wrapText="1"/>
      <protection/>
    </xf>
    <xf numFmtId="0" fontId="5" fillId="0" borderId="11" xfId="49" applyFont="1" applyBorder="1" applyAlignment="1">
      <alignment horizontal="center" wrapText="1"/>
      <protection/>
    </xf>
    <xf numFmtId="0" fontId="5" fillId="0" borderId="12" xfId="49" applyFont="1" applyBorder="1" applyAlignment="1">
      <alignment horizontal="center" wrapText="1"/>
      <protection/>
    </xf>
    <xf numFmtId="0" fontId="4" fillId="0" borderId="16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7" fillId="0" borderId="43" xfId="51" applyFont="1" applyBorder="1" applyAlignment="1" applyProtection="1">
      <alignment horizontal="center" vertical="center"/>
      <protection hidden="1"/>
    </xf>
    <xf numFmtId="0" fontId="7" fillId="0" borderId="40" xfId="51" applyFont="1" applyBorder="1" applyAlignment="1" applyProtection="1">
      <alignment horizontal="center" vertical="center"/>
      <protection hidden="1"/>
    </xf>
    <xf numFmtId="0" fontId="39" fillId="0" borderId="0" xfId="52" applyFont="1" applyAlignment="1">
      <alignment horizontal="center"/>
      <protection/>
    </xf>
    <xf numFmtId="0" fontId="40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41" fillId="0" borderId="20" xfId="52" applyFont="1" applyBorder="1" applyAlignment="1">
      <alignment horizontal="center"/>
      <protection/>
    </xf>
    <xf numFmtId="0" fontId="41" fillId="0" borderId="27" xfId="52" applyFont="1" applyBorder="1" applyAlignment="1">
      <alignment horizontal="center"/>
      <protection/>
    </xf>
    <xf numFmtId="0" fontId="41" fillId="0" borderId="26" xfId="52" applyFont="1" applyBorder="1" applyAlignment="1">
      <alignment horizontal="center"/>
      <protection/>
    </xf>
    <xf numFmtId="0" fontId="42" fillId="0" borderId="64" xfId="52" applyFont="1" applyBorder="1" applyAlignment="1">
      <alignment horizontal="center"/>
      <protection/>
    </xf>
    <xf numFmtId="0" fontId="42" fillId="0" borderId="33" xfId="52" applyFont="1" applyBorder="1" applyAlignment="1">
      <alignment horizontal="center"/>
      <protection/>
    </xf>
    <xf numFmtId="0" fontId="42" fillId="0" borderId="64" xfId="52" applyFont="1" applyBorder="1" applyAlignment="1">
      <alignment horizontal="left"/>
      <protection/>
    </xf>
    <xf numFmtId="0" fontId="42" fillId="0" borderId="29" xfId="52" applyFont="1" applyBorder="1" applyAlignment="1">
      <alignment horizontal="left"/>
      <protection/>
    </xf>
    <xf numFmtId="0" fontId="42" fillId="0" borderId="33" xfId="52" applyFont="1" applyBorder="1" applyAlignment="1">
      <alignment horizontal="left"/>
      <protection/>
    </xf>
    <xf numFmtId="0" fontId="41" fillId="0" borderId="21" xfId="52" applyFont="1" applyBorder="1" applyAlignment="1">
      <alignment horizontal="center"/>
      <protection/>
    </xf>
    <xf numFmtId="43" fontId="10" fillId="0" borderId="45" xfId="52" applyNumberFormat="1" applyFont="1" applyBorder="1" applyAlignment="1">
      <alignment/>
      <protection/>
    </xf>
    <xf numFmtId="43" fontId="10" fillId="0" borderId="45" xfId="52" applyNumberFormat="1" applyFont="1" applyBorder="1" applyAlignment="1">
      <alignment horizontal="center"/>
      <protection/>
    </xf>
    <xf numFmtId="43" fontId="10" fillId="0" borderId="13" xfId="52" applyNumberFormat="1" applyFont="1" applyBorder="1" applyAlignment="1">
      <alignment/>
      <protection/>
    </xf>
    <xf numFmtId="43" fontId="10" fillId="0" borderId="13" xfId="52" applyNumberFormat="1" applyFont="1" applyBorder="1" applyAlignment="1">
      <alignment horizontal="center"/>
      <protection/>
    </xf>
    <xf numFmtId="43" fontId="42" fillId="0" borderId="39" xfId="52" applyNumberFormat="1" applyFont="1" applyBorder="1" applyAlignment="1">
      <alignment horizontal="right"/>
      <protection/>
    </xf>
    <xf numFmtId="43" fontId="10" fillId="0" borderId="41" xfId="52" applyNumberFormat="1" applyFont="1" applyBorder="1" applyAlignment="1">
      <alignment horizontal="center"/>
      <protection/>
    </xf>
    <xf numFmtId="43" fontId="11" fillId="0" borderId="61" xfId="52" applyNumberFormat="1" applyFont="1" applyBorder="1" applyAlignment="1">
      <alignment/>
      <protection/>
    </xf>
    <xf numFmtId="0" fontId="44" fillId="0" borderId="47" xfId="52" applyFont="1" applyBorder="1" applyAlignment="1">
      <alignment/>
      <protection/>
    </xf>
    <xf numFmtId="43" fontId="42" fillId="0" borderId="62" xfId="41" applyFont="1" applyBorder="1" applyAlignment="1">
      <alignment horizontal="center"/>
    </xf>
    <xf numFmtId="49" fontId="44" fillId="0" borderId="47" xfId="52" applyNumberFormat="1" applyFont="1" applyBorder="1" applyAlignment="1">
      <alignment/>
      <protection/>
    </xf>
    <xf numFmtId="0" fontId="43" fillId="0" borderId="47" xfId="52" applyFont="1" applyBorder="1" applyAlignment="1">
      <alignment horizontal="left"/>
      <protection/>
    </xf>
    <xf numFmtId="0" fontId="41" fillId="0" borderId="47" xfId="52" applyFont="1" applyBorder="1" applyAlignment="1">
      <alignment horizontal="left"/>
      <protection/>
    </xf>
    <xf numFmtId="49" fontId="42" fillId="0" borderId="62" xfId="52" applyNumberFormat="1" applyFont="1" applyBorder="1" applyAlignment="1">
      <alignment horizontal="left"/>
      <protection/>
    </xf>
    <xf numFmtId="43" fontId="42" fillId="0" borderId="13" xfId="52" applyNumberFormat="1" applyFont="1" applyBorder="1" applyAlignment="1">
      <alignment horizontal="right"/>
      <protection/>
    </xf>
    <xf numFmtId="0" fontId="12" fillId="0" borderId="0" xfId="49" applyFont="1" applyAlignment="1">
      <alignment horizontal="center"/>
      <protection/>
    </xf>
    <xf numFmtId="3" fontId="27" fillId="0" borderId="0" xfId="50" applyNumberFormat="1" applyFont="1" applyAlignment="1">
      <alignment horizontal="right" vertical="center"/>
      <protection/>
    </xf>
    <xf numFmtId="3" fontId="28" fillId="0" borderId="0" xfId="50" applyNumberFormat="1" applyFont="1" applyAlignment="1">
      <alignment horizontal="center" vertical="center"/>
      <protection/>
    </xf>
    <xf numFmtId="3" fontId="29" fillId="0" borderId="0" xfId="50" applyNumberFormat="1" applyFont="1" applyAlignment="1">
      <alignment horizontal="center" vertical="center"/>
      <protection/>
    </xf>
    <xf numFmtId="3" fontId="31" fillId="0" borderId="0" xfId="50" applyNumberFormat="1" applyFont="1" applyBorder="1" applyAlignment="1">
      <alignment horizontal="center" vertical="center"/>
      <protection/>
    </xf>
    <xf numFmtId="3" fontId="29" fillId="0" borderId="0" xfId="50" applyNumberFormat="1" applyFont="1" applyBorder="1" applyAlignment="1">
      <alignment horizontal="center" vertical="center"/>
      <protection/>
    </xf>
    <xf numFmtId="0" fontId="47" fillId="0" borderId="57" xfId="52" applyFont="1" applyFill="1" applyBorder="1" applyAlignment="1">
      <alignment horizontal="center" vertical="center"/>
      <protection/>
    </xf>
    <xf numFmtId="0" fontId="47" fillId="0" borderId="58" xfId="52" applyFont="1" applyFill="1" applyBorder="1" applyAlignment="1">
      <alignment horizontal="center" vertical="center"/>
      <protection/>
    </xf>
    <xf numFmtId="0" fontId="47" fillId="0" borderId="52" xfId="52" applyFont="1" applyFill="1" applyBorder="1" applyAlignment="1">
      <alignment horizontal="right"/>
      <protection/>
    </xf>
    <xf numFmtId="0" fontId="47" fillId="0" borderId="56" xfId="52" applyFont="1" applyFill="1" applyBorder="1" applyAlignment="1">
      <alignment horizontal="right"/>
      <protection/>
    </xf>
    <xf numFmtId="0" fontId="47" fillId="0" borderId="57" xfId="52" applyFont="1" applyFill="1" applyBorder="1" applyAlignment="1">
      <alignment horizontal="center"/>
      <protection/>
    </xf>
    <xf numFmtId="0" fontId="47" fillId="0" borderId="58" xfId="52" applyFont="1" applyFill="1" applyBorder="1" applyAlignment="1">
      <alignment horizontal="center"/>
      <protection/>
    </xf>
    <xf numFmtId="0" fontId="47" fillId="0" borderId="0" xfId="52" applyFont="1" applyFill="1" applyAlignment="1">
      <alignment horizontal="center"/>
      <protection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เครื่องหมายจุลภาค 5" xfId="41"/>
    <cellStyle name="เครื่องหมายจุลภาค 6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กติ 4" xfId="51"/>
    <cellStyle name="ปกติ_รายงานงบเดือนรายรับ2551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0</xdr:colOff>
      <xdr:row>7</xdr:row>
      <xdr:rowOff>266700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19050" y="1066800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2</xdr:col>
      <xdr:colOff>0</xdr:colOff>
      <xdr:row>7</xdr:row>
      <xdr:rowOff>266700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19050" y="1066800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2</xdr:col>
      <xdr:colOff>0</xdr:colOff>
      <xdr:row>7</xdr:row>
      <xdr:rowOff>266700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9050" y="1066800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2</xdr:col>
      <xdr:colOff>0</xdr:colOff>
      <xdr:row>44</xdr:row>
      <xdr:rowOff>266700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190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2</xdr:col>
      <xdr:colOff>0</xdr:colOff>
      <xdr:row>44</xdr:row>
      <xdr:rowOff>266700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190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2</xdr:col>
      <xdr:colOff>0</xdr:colOff>
      <xdr:row>44</xdr:row>
      <xdr:rowOff>266700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190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2</xdr:col>
      <xdr:colOff>0</xdr:colOff>
      <xdr:row>82</xdr:row>
      <xdr:rowOff>266700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190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2</xdr:col>
      <xdr:colOff>0</xdr:colOff>
      <xdr:row>82</xdr:row>
      <xdr:rowOff>266700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190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2</xdr:col>
      <xdr:colOff>0</xdr:colOff>
      <xdr:row>82</xdr:row>
      <xdr:rowOff>266700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190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117</xdr:row>
      <xdr:rowOff>9525</xdr:rowOff>
    </xdr:from>
    <xdr:to>
      <xdr:col>2</xdr:col>
      <xdr:colOff>0</xdr:colOff>
      <xdr:row>120</xdr:row>
      <xdr:rowOff>266700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190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117</xdr:row>
      <xdr:rowOff>9525</xdr:rowOff>
    </xdr:from>
    <xdr:to>
      <xdr:col>2</xdr:col>
      <xdr:colOff>0</xdr:colOff>
      <xdr:row>120</xdr:row>
      <xdr:rowOff>266700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190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117</xdr:row>
      <xdr:rowOff>9525</xdr:rowOff>
    </xdr:from>
    <xdr:to>
      <xdr:col>2</xdr:col>
      <xdr:colOff>0</xdr:colOff>
      <xdr:row>120</xdr:row>
      <xdr:rowOff>266700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190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9525</xdr:rowOff>
    </xdr:from>
    <xdr:to>
      <xdr:col>25</xdr:col>
      <xdr:colOff>0</xdr:colOff>
      <xdr:row>7</xdr:row>
      <xdr:rowOff>266700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17773650" y="1066800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9525</xdr:rowOff>
    </xdr:from>
    <xdr:to>
      <xdr:col>25</xdr:col>
      <xdr:colOff>0</xdr:colOff>
      <xdr:row>7</xdr:row>
      <xdr:rowOff>266700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17773650" y="1066800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9525</xdr:rowOff>
    </xdr:from>
    <xdr:to>
      <xdr:col>25</xdr:col>
      <xdr:colOff>0</xdr:colOff>
      <xdr:row>7</xdr:row>
      <xdr:rowOff>266700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17773650" y="1066800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9525</xdr:rowOff>
    </xdr:from>
    <xdr:to>
      <xdr:col>25</xdr:col>
      <xdr:colOff>0</xdr:colOff>
      <xdr:row>44</xdr:row>
      <xdr:rowOff>266700</xdr:rowOff>
    </xdr:to>
    <xdr:sp>
      <xdr:nvSpPr>
        <xdr:cNvPr id="16" name="ตัวเชื่อมต่อตรง 16"/>
        <xdr:cNvSpPr>
          <a:spLocks/>
        </xdr:cNvSpPr>
      </xdr:nvSpPr>
      <xdr:spPr>
        <a:xfrm>
          <a:off x="177736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9525</xdr:rowOff>
    </xdr:from>
    <xdr:to>
      <xdr:col>25</xdr:col>
      <xdr:colOff>0</xdr:colOff>
      <xdr:row>44</xdr:row>
      <xdr:rowOff>266700</xdr:rowOff>
    </xdr:to>
    <xdr:sp>
      <xdr:nvSpPr>
        <xdr:cNvPr id="17" name="ตัวเชื่อมต่อตรง 17"/>
        <xdr:cNvSpPr>
          <a:spLocks/>
        </xdr:cNvSpPr>
      </xdr:nvSpPr>
      <xdr:spPr>
        <a:xfrm>
          <a:off x="177736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9525</xdr:rowOff>
    </xdr:from>
    <xdr:to>
      <xdr:col>25</xdr:col>
      <xdr:colOff>0</xdr:colOff>
      <xdr:row>44</xdr:row>
      <xdr:rowOff>266700</xdr:rowOff>
    </xdr:to>
    <xdr:sp>
      <xdr:nvSpPr>
        <xdr:cNvPr id="18" name="ตัวเชื่อมต่อตรง 18"/>
        <xdr:cNvSpPr>
          <a:spLocks/>
        </xdr:cNvSpPr>
      </xdr:nvSpPr>
      <xdr:spPr>
        <a:xfrm>
          <a:off x="177736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79</xdr:row>
      <xdr:rowOff>9525</xdr:rowOff>
    </xdr:from>
    <xdr:to>
      <xdr:col>25</xdr:col>
      <xdr:colOff>0</xdr:colOff>
      <xdr:row>82</xdr:row>
      <xdr:rowOff>266700</xdr:rowOff>
    </xdr:to>
    <xdr:sp>
      <xdr:nvSpPr>
        <xdr:cNvPr id="19" name="ตัวเชื่อมต่อตรง 19"/>
        <xdr:cNvSpPr>
          <a:spLocks/>
        </xdr:cNvSpPr>
      </xdr:nvSpPr>
      <xdr:spPr>
        <a:xfrm>
          <a:off x="177736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79</xdr:row>
      <xdr:rowOff>9525</xdr:rowOff>
    </xdr:from>
    <xdr:to>
      <xdr:col>25</xdr:col>
      <xdr:colOff>0</xdr:colOff>
      <xdr:row>82</xdr:row>
      <xdr:rowOff>266700</xdr:rowOff>
    </xdr:to>
    <xdr:sp>
      <xdr:nvSpPr>
        <xdr:cNvPr id="20" name="ตัวเชื่อมต่อตรง 20"/>
        <xdr:cNvSpPr>
          <a:spLocks/>
        </xdr:cNvSpPr>
      </xdr:nvSpPr>
      <xdr:spPr>
        <a:xfrm>
          <a:off x="177736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79</xdr:row>
      <xdr:rowOff>9525</xdr:rowOff>
    </xdr:from>
    <xdr:to>
      <xdr:col>25</xdr:col>
      <xdr:colOff>0</xdr:colOff>
      <xdr:row>82</xdr:row>
      <xdr:rowOff>266700</xdr:rowOff>
    </xdr:to>
    <xdr:sp>
      <xdr:nvSpPr>
        <xdr:cNvPr id="21" name="ตัวเชื่อมต่อตรง 21"/>
        <xdr:cNvSpPr>
          <a:spLocks/>
        </xdr:cNvSpPr>
      </xdr:nvSpPr>
      <xdr:spPr>
        <a:xfrm>
          <a:off x="177736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117</xdr:row>
      <xdr:rowOff>9525</xdr:rowOff>
    </xdr:from>
    <xdr:to>
      <xdr:col>25</xdr:col>
      <xdr:colOff>0</xdr:colOff>
      <xdr:row>120</xdr:row>
      <xdr:rowOff>266700</xdr:rowOff>
    </xdr:to>
    <xdr:sp>
      <xdr:nvSpPr>
        <xdr:cNvPr id="22" name="ตัวเชื่อมต่อตรง 22"/>
        <xdr:cNvSpPr>
          <a:spLocks/>
        </xdr:cNvSpPr>
      </xdr:nvSpPr>
      <xdr:spPr>
        <a:xfrm>
          <a:off x="177736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117</xdr:row>
      <xdr:rowOff>9525</xdr:rowOff>
    </xdr:from>
    <xdr:to>
      <xdr:col>25</xdr:col>
      <xdr:colOff>0</xdr:colOff>
      <xdr:row>120</xdr:row>
      <xdr:rowOff>266700</xdr:rowOff>
    </xdr:to>
    <xdr:sp>
      <xdr:nvSpPr>
        <xdr:cNvPr id="23" name="ตัวเชื่อมต่อตรง 23"/>
        <xdr:cNvSpPr>
          <a:spLocks/>
        </xdr:cNvSpPr>
      </xdr:nvSpPr>
      <xdr:spPr>
        <a:xfrm>
          <a:off x="177736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117</xdr:row>
      <xdr:rowOff>9525</xdr:rowOff>
    </xdr:from>
    <xdr:to>
      <xdr:col>25</xdr:col>
      <xdr:colOff>0</xdr:colOff>
      <xdr:row>120</xdr:row>
      <xdr:rowOff>266700</xdr:rowOff>
    </xdr:to>
    <xdr:sp>
      <xdr:nvSpPr>
        <xdr:cNvPr id="24" name="ตัวเชื่อมต่อตรง 24"/>
        <xdr:cNvSpPr>
          <a:spLocks/>
        </xdr:cNvSpPr>
      </xdr:nvSpPr>
      <xdr:spPr>
        <a:xfrm>
          <a:off x="177736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9525</xdr:rowOff>
    </xdr:from>
    <xdr:to>
      <xdr:col>25</xdr:col>
      <xdr:colOff>0</xdr:colOff>
      <xdr:row>44</xdr:row>
      <xdr:rowOff>266700</xdr:rowOff>
    </xdr:to>
    <xdr:sp>
      <xdr:nvSpPr>
        <xdr:cNvPr id="25" name="ตัวเชื่อมต่อตรง 25"/>
        <xdr:cNvSpPr>
          <a:spLocks/>
        </xdr:cNvSpPr>
      </xdr:nvSpPr>
      <xdr:spPr>
        <a:xfrm>
          <a:off x="177736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9525</xdr:rowOff>
    </xdr:from>
    <xdr:to>
      <xdr:col>25</xdr:col>
      <xdr:colOff>0</xdr:colOff>
      <xdr:row>44</xdr:row>
      <xdr:rowOff>266700</xdr:rowOff>
    </xdr:to>
    <xdr:sp>
      <xdr:nvSpPr>
        <xdr:cNvPr id="26" name="ตัวเชื่อมต่อตรง 26"/>
        <xdr:cNvSpPr>
          <a:spLocks/>
        </xdr:cNvSpPr>
      </xdr:nvSpPr>
      <xdr:spPr>
        <a:xfrm>
          <a:off x="177736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9525</xdr:rowOff>
    </xdr:from>
    <xdr:to>
      <xdr:col>25</xdr:col>
      <xdr:colOff>0</xdr:colOff>
      <xdr:row>44</xdr:row>
      <xdr:rowOff>266700</xdr:rowOff>
    </xdr:to>
    <xdr:sp>
      <xdr:nvSpPr>
        <xdr:cNvPr id="27" name="ตัวเชื่อมต่อตรง 27"/>
        <xdr:cNvSpPr>
          <a:spLocks/>
        </xdr:cNvSpPr>
      </xdr:nvSpPr>
      <xdr:spPr>
        <a:xfrm>
          <a:off x="177736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79</xdr:row>
      <xdr:rowOff>9525</xdr:rowOff>
    </xdr:from>
    <xdr:to>
      <xdr:col>25</xdr:col>
      <xdr:colOff>0</xdr:colOff>
      <xdr:row>82</xdr:row>
      <xdr:rowOff>266700</xdr:rowOff>
    </xdr:to>
    <xdr:sp>
      <xdr:nvSpPr>
        <xdr:cNvPr id="28" name="ตัวเชื่อมต่อตรง 28"/>
        <xdr:cNvSpPr>
          <a:spLocks/>
        </xdr:cNvSpPr>
      </xdr:nvSpPr>
      <xdr:spPr>
        <a:xfrm>
          <a:off x="177736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79</xdr:row>
      <xdr:rowOff>9525</xdr:rowOff>
    </xdr:from>
    <xdr:to>
      <xdr:col>25</xdr:col>
      <xdr:colOff>0</xdr:colOff>
      <xdr:row>82</xdr:row>
      <xdr:rowOff>266700</xdr:rowOff>
    </xdr:to>
    <xdr:sp>
      <xdr:nvSpPr>
        <xdr:cNvPr id="29" name="ตัวเชื่อมต่อตรง 29"/>
        <xdr:cNvSpPr>
          <a:spLocks/>
        </xdr:cNvSpPr>
      </xdr:nvSpPr>
      <xdr:spPr>
        <a:xfrm>
          <a:off x="177736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79</xdr:row>
      <xdr:rowOff>9525</xdr:rowOff>
    </xdr:from>
    <xdr:to>
      <xdr:col>25</xdr:col>
      <xdr:colOff>0</xdr:colOff>
      <xdr:row>82</xdr:row>
      <xdr:rowOff>266700</xdr:rowOff>
    </xdr:to>
    <xdr:sp>
      <xdr:nvSpPr>
        <xdr:cNvPr id="30" name="ตัวเชื่อมต่อตรง 30"/>
        <xdr:cNvSpPr>
          <a:spLocks/>
        </xdr:cNvSpPr>
      </xdr:nvSpPr>
      <xdr:spPr>
        <a:xfrm>
          <a:off x="177736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117</xdr:row>
      <xdr:rowOff>9525</xdr:rowOff>
    </xdr:from>
    <xdr:to>
      <xdr:col>25</xdr:col>
      <xdr:colOff>0</xdr:colOff>
      <xdr:row>120</xdr:row>
      <xdr:rowOff>266700</xdr:rowOff>
    </xdr:to>
    <xdr:sp>
      <xdr:nvSpPr>
        <xdr:cNvPr id="31" name="ตัวเชื่อมต่อตรง 31"/>
        <xdr:cNvSpPr>
          <a:spLocks/>
        </xdr:cNvSpPr>
      </xdr:nvSpPr>
      <xdr:spPr>
        <a:xfrm>
          <a:off x="177736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117</xdr:row>
      <xdr:rowOff>9525</xdr:rowOff>
    </xdr:from>
    <xdr:to>
      <xdr:col>25</xdr:col>
      <xdr:colOff>0</xdr:colOff>
      <xdr:row>120</xdr:row>
      <xdr:rowOff>266700</xdr:rowOff>
    </xdr:to>
    <xdr:sp>
      <xdr:nvSpPr>
        <xdr:cNvPr id="32" name="ตัวเชื่อมต่อตรง 32"/>
        <xdr:cNvSpPr>
          <a:spLocks/>
        </xdr:cNvSpPr>
      </xdr:nvSpPr>
      <xdr:spPr>
        <a:xfrm>
          <a:off x="177736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117</xdr:row>
      <xdr:rowOff>9525</xdr:rowOff>
    </xdr:from>
    <xdr:to>
      <xdr:col>25</xdr:col>
      <xdr:colOff>0</xdr:colOff>
      <xdr:row>120</xdr:row>
      <xdr:rowOff>266700</xdr:rowOff>
    </xdr:to>
    <xdr:sp>
      <xdr:nvSpPr>
        <xdr:cNvPr id="33" name="ตัวเชื่อมต่อตรง 33"/>
        <xdr:cNvSpPr>
          <a:spLocks/>
        </xdr:cNvSpPr>
      </xdr:nvSpPr>
      <xdr:spPr>
        <a:xfrm>
          <a:off x="177736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2</xdr:col>
      <xdr:colOff>0</xdr:colOff>
      <xdr:row>44</xdr:row>
      <xdr:rowOff>266700</xdr:rowOff>
    </xdr:to>
    <xdr:sp>
      <xdr:nvSpPr>
        <xdr:cNvPr id="34" name="ตัวเชื่อมต่อตรง 34"/>
        <xdr:cNvSpPr>
          <a:spLocks/>
        </xdr:cNvSpPr>
      </xdr:nvSpPr>
      <xdr:spPr>
        <a:xfrm>
          <a:off x="190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2</xdr:col>
      <xdr:colOff>0</xdr:colOff>
      <xdr:row>44</xdr:row>
      <xdr:rowOff>266700</xdr:rowOff>
    </xdr:to>
    <xdr:sp>
      <xdr:nvSpPr>
        <xdr:cNvPr id="35" name="ตัวเชื่อมต่อตรง 35"/>
        <xdr:cNvSpPr>
          <a:spLocks/>
        </xdr:cNvSpPr>
      </xdr:nvSpPr>
      <xdr:spPr>
        <a:xfrm>
          <a:off x="190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2</xdr:col>
      <xdr:colOff>0</xdr:colOff>
      <xdr:row>44</xdr:row>
      <xdr:rowOff>266700</xdr:rowOff>
    </xdr:to>
    <xdr:sp>
      <xdr:nvSpPr>
        <xdr:cNvPr id="36" name="ตัวเชื่อมต่อตรง 36"/>
        <xdr:cNvSpPr>
          <a:spLocks/>
        </xdr:cNvSpPr>
      </xdr:nvSpPr>
      <xdr:spPr>
        <a:xfrm>
          <a:off x="190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9525</xdr:rowOff>
    </xdr:from>
    <xdr:to>
      <xdr:col>25</xdr:col>
      <xdr:colOff>0</xdr:colOff>
      <xdr:row>44</xdr:row>
      <xdr:rowOff>266700</xdr:rowOff>
    </xdr:to>
    <xdr:sp>
      <xdr:nvSpPr>
        <xdr:cNvPr id="37" name="ตัวเชื่อมต่อตรง 37"/>
        <xdr:cNvSpPr>
          <a:spLocks/>
        </xdr:cNvSpPr>
      </xdr:nvSpPr>
      <xdr:spPr>
        <a:xfrm>
          <a:off x="177736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9525</xdr:rowOff>
    </xdr:from>
    <xdr:to>
      <xdr:col>25</xdr:col>
      <xdr:colOff>0</xdr:colOff>
      <xdr:row>44</xdr:row>
      <xdr:rowOff>266700</xdr:rowOff>
    </xdr:to>
    <xdr:sp>
      <xdr:nvSpPr>
        <xdr:cNvPr id="38" name="ตัวเชื่อมต่อตรง 38"/>
        <xdr:cNvSpPr>
          <a:spLocks/>
        </xdr:cNvSpPr>
      </xdr:nvSpPr>
      <xdr:spPr>
        <a:xfrm>
          <a:off x="177736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9525</xdr:rowOff>
    </xdr:from>
    <xdr:to>
      <xdr:col>25</xdr:col>
      <xdr:colOff>0</xdr:colOff>
      <xdr:row>44</xdr:row>
      <xdr:rowOff>266700</xdr:rowOff>
    </xdr:to>
    <xdr:sp>
      <xdr:nvSpPr>
        <xdr:cNvPr id="39" name="ตัวเชื่อมต่อตรง 39"/>
        <xdr:cNvSpPr>
          <a:spLocks/>
        </xdr:cNvSpPr>
      </xdr:nvSpPr>
      <xdr:spPr>
        <a:xfrm>
          <a:off x="17773650" y="119538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2</xdr:col>
      <xdr:colOff>0</xdr:colOff>
      <xdr:row>82</xdr:row>
      <xdr:rowOff>266700</xdr:rowOff>
    </xdr:to>
    <xdr:sp>
      <xdr:nvSpPr>
        <xdr:cNvPr id="40" name="ตัวเชื่อมต่อตรง 40"/>
        <xdr:cNvSpPr>
          <a:spLocks/>
        </xdr:cNvSpPr>
      </xdr:nvSpPr>
      <xdr:spPr>
        <a:xfrm>
          <a:off x="190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2</xdr:col>
      <xdr:colOff>0</xdr:colOff>
      <xdr:row>82</xdr:row>
      <xdr:rowOff>266700</xdr:rowOff>
    </xdr:to>
    <xdr:sp>
      <xdr:nvSpPr>
        <xdr:cNvPr id="41" name="ตัวเชื่อมต่อตรง 41"/>
        <xdr:cNvSpPr>
          <a:spLocks/>
        </xdr:cNvSpPr>
      </xdr:nvSpPr>
      <xdr:spPr>
        <a:xfrm>
          <a:off x="190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2</xdr:col>
      <xdr:colOff>0</xdr:colOff>
      <xdr:row>82</xdr:row>
      <xdr:rowOff>266700</xdr:rowOff>
    </xdr:to>
    <xdr:sp>
      <xdr:nvSpPr>
        <xdr:cNvPr id="42" name="ตัวเชื่อมต่อตรง 42"/>
        <xdr:cNvSpPr>
          <a:spLocks/>
        </xdr:cNvSpPr>
      </xdr:nvSpPr>
      <xdr:spPr>
        <a:xfrm>
          <a:off x="190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79</xdr:row>
      <xdr:rowOff>9525</xdr:rowOff>
    </xdr:from>
    <xdr:to>
      <xdr:col>25</xdr:col>
      <xdr:colOff>0</xdr:colOff>
      <xdr:row>82</xdr:row>
      <xdr:rowOff>266700</xdr:rowOff>
    </xdr:to>
    <xdr:sp>
      <xdr:nvSpPr>
        <xdr:cNvPr id="43" name="ตัวเชื่อมต่อตรง 43"/>
        <xdr:cNvSpPr>
          <a:spLocks/>
        </xdr:cNvSpPr>
      </xdr:nvSpPr>
      <xdr:spPr>
        <a:xfrm>
          <a:off x="177736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79</xdr:row>
      <xdr:rowOff>9525</xdr:rowOff>
    </xdr:from>
    <xdr:to>
      <xdr:col>25</xdr:col>
      <xdr:colOff>0</xdr:colOff>
      <xdr:row>82</xdr:row>
      <xdr:rowOff>266700</xdr:rowOff>
    </xdr:to>
    <xdr:sp>
      <xdr:nvSpPr>
        <xdr:cNvPr id="44" name="ตัวเชื่อมต่อตรง 44"/>
        <xdr:cNvSpPr>
          <a:spLocks/>
        </xdr:cNvSpPr>
      </xdr:nvSpPr>
      <xdr:spPr>
        <a:xfrm>
          <a:off x="177736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79</xdr:row>
      <xdr:rowOff>9525</xdr:rowOff>
    </xdr:from>
    <xdr:to>
      <xdr:col>25</xdr:col>
      <xdr:colOff>0</xdr:colOff>
      <xdr:row>82</xdr:row>
      <xdr:rowOff>266700</xdr:rowOff>
    </xdr:to>
    <xdr:sp>
      <xdr:nvSpPr>
        <xdr:cNvPr id="45" name="ตัวเชื่อมต่อตรง 45"/>
        <xdr:cNvSpPr>
          <a:spLocks/>
        </xdr:cNvSpPr>
      </xdr:nvSpPr>
      <xdr:spPr>
        <a:xfrm>
          <a:off x="17773650" y="2313622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117</xdr:row>
      <xdr:rowOff>9525</xdr:rowOff>
    </xdr:from>
    <xdr:to>
      <xdr:col>2</xdr:col>
      <xdr:colOff>0</xdr:colOff>
      <xdr:row>120</xdr:row>
      <xdr:rowOff>266700</xdr:rowOff>
    </xdr:to>
    <xdr:sp>
      <xdr:nvSpPr>
        <xdr:cNvPr id="46" name="ตัวเชื่อมต่อตรง 46"/>
        <xdr:cNvSpPr>
          <a:spLocks/>
        </xdr:cNvSpPr>
      </xdr:nvSpPr>
      <xdr:spPr>
        <a:xfrm>
          <a:off x="190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117</xdr:row>
      <xdr:rowOff>9525</xdr:rowOff>
    </xdr:from>
    <xdr:to>
      <xdr:col>2</xdr:col>
      <xdr:colOff>0</xdr:colOff>
      <xdr:row>120</xdr:row>
      <xdr:rowOff>266700</xdr:rowOff>
    </xdr:to>
    <xdr:sp>
      <xdr:nvSpPr>
        <xdr:cNvPr id="47" name="ตัวเชื่อมต่อตรง 47"/>
        <xdr:cNvSpPr>
          <a:spLocks/>
        </xdr:cNvSpPr>
      </xdr:nvSpPr>
      <xdr:spPr>
        <a:xfrm>
          <a:off x="190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117</xdr:row>
      <xdr:rowOff>9525</xdr:rowOff>
    </xdr:from>
    <xdr:to>
      <xdr:col>2</xdr:col>
      <xdr:colOff>0</xdr:colOff>
      <xdr:row>120</xdr:row>
      <xdr:rowOff>266700</xdr:rowOff>
    </xdr:to>
    <xdr:sp>
      <xdr:nvSpPr>
        <xdr:cNvPr id="48" name="ตัวเชื่อมต่อตรง 48"/>
        <xdr:cNvSpPr>
          <a:spLocks/>
        </xdr:cNvSpPr>
      </xdr:nvSpPr>
      <xdr:spPr>
        <a:xfrm>
          <a:off x="190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117</xdr:row>
      <xdr:rowOff>9525</xdr:rowOff>
    </xdr:from>
    <xdr:to>
      <xdr:col>25</xdr:col>
      <xdr:colOff>0</xdr:colOff>
      <xdr:row>120</xdr:row>
      <xdr:rowOff>266700</xdr:rowOff>
    </xdr:to>
    <xdr:sp>
      <xdr:nvSpPr>
        <xdr:cNvPr id="49" name="ตัวเชื่อมต่อตรง 49"/>
        <xdr:cNvSpPr>
          <a:spLocks/>
        </xdr:cNvSpPr>
      </xdr:nvSpPr>
      <xdr:spPr>
        <a:xfrm>
          <a:off x="177736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117</xdr:row>
      <xdr:rowOff>9525</xdr:rowOff>
    </xdr:from>
    <xdr:to>
      <xdr:col>25</xdr:col>
      <xdr:colOff>0</xdr:colOff>
      <xdr:row>120</xdr:row>
      <xdr:rowOff>266700</xdr:rowOff>
    </xdr:to>
    <xdr:sp>
      <xdr:nvSpPr>
        <xdr:cNvPr id="50" name="ตัวเชื่อมต่อตรง 50"/>
        <xdr:cNvSpPr>
          <a:spLocks/>
        </xdr:cNvSpPr>
      </xdr:nvSpPr>
      <xdr:spPr>
        <a:xfrm>
          <a:off x="177736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117</xdr:row>
      <xdr:rowOff>9525</xdr:rowOff>
    </xdr:from>
    <xdr:to>
      <xdr:col>25</xdr:col>
      <xdr:colOff>0</xdr:colOff>
      <xdr:row>120</xdr:row>
      <xdr:rowOff>266700</xdr:rowOff>
    </xdr:to>
    <xdr:sp>
      <xdr:nvSpPr>
        <xdr:cNvPr id="51" name="ตัวเชื่อมต่อตรง 51"/>
        <xdr:cNvSpPr>
          <a:spLocks/>
        </xdr:cNvSpPr>
      </xdr:nvSpPr>
      <xdr:spPr>
        <a:xfrm>
          <a:off x="17773650" y="34318575"/>
          <a:ext cx="1400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0</xdr:col>
      <xdr:colOff>1828800</xdr:colOff>
      <xdr:row>35</xdr:row>
      <xdr:rowOff>0</xdr:rowOff>
    </xdr:to>
    <xdr:sp>
      <xdr:nvSpPr>
        <xdr:cNvPr id="1" name="Rectangle 4"/>
        <xdr:cNvSpPr>
          <a:spLocks/>
        </xdr:cNvSpPr>
      </xdr:nvSpPr>
      <xdr:spPr>
        <a:xfrm>
          <a:off x="9525" y="8439150"/>
          <a:ext cx="1819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หัวหน้าหน่วยงานคลัง</a:t>
          </a:r>
        </a:p>
      </xdr:txBody>
    </xdr:sp>
    <xdr:clientData/>
  </xdr:twoCellAnchor>
  <xdr:twoCellAnchor>
    <xdr:from>
      <xdr:col>0</xdr:col>
      <xdr:colOff>1838325</xdr:colOff>
      <xdr:row>30</xdr:row>
      <xdr:rowOff>9525</xdr:rowOff>
    </xdr:from>
    <xdr:to>
      <xdr:col>2</xdr:col>
      <xdr:colOff>276225</xdr:colOff>
      <xdr:row>35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838325" y="8439150"/>
          <a:ext cx="18478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ปลัดเทศบาลตำบลธาตุทอง</a:t>
          </a:r>
        </a:p>
      </xdr:txBody>
    </xdr:sp>
    <xdr:clientData/>
  </xdr:twoCellAnchor>
  <xdr:twoCellAnchor>
    <xdr:from>
      <xdr:col>2</xdr:col>
      <xdr:colOff>285750</xdr:colOff>
      <xdr:row>30</xdr:row>
      <xdr:rowOff>0</xdr:rowOff>
    </xdr:from>
    <xdr:to>
      <xdr:col>5</xdr:col>
      <xdr:colOff>0</xdr:colOff>
      <xdr:row>35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695700" y="8429625"/>
          <a:ext cx="20764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นายกเทศมนตรีตำบลธาตุทอง</a:t>
          </a:r>
        </a:p>
      </xdr:txBody>
    </xdr:sp>
    <xdr:clientData/>
  </xdr:twoCellAnchor>
  <xdr:twoCellAnchor>
    <xdr:from>
      <xdr:col>0</xdr:col>
      <xdr:colOff>9525</xdr:colOff>
      <xdr:row>81</xdr:row>
      <xdr:rowOff>9525</xdr:rowOff>
    </xdr:from>
    <xdr:to>
      <xdr:col>0</xdr:col>
      <xdr:colOff>1828800</xdr:colOff>
      <xdr:row>86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9525" y="22669500"/>
          <a:ext cx="1819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หัวหน้าหน่วยงานคลัง</a:t>
          </a:r>
        </a:p>
      </xdr:txBody>
    </xdr:sp>
    <xdr:clientData/>
  </xdr:twoCellAnchor>
  <xdr:twoCellAnchor>
    <xdr:from>
      <xdr:col>0</xdr:col>
      <xdr:colOff>1838325</xdr:colOff>
      <xdr:row>81</xdr:row>
      <xdr:rowOff>9525</xdr:rowOff>
    </xdr:from>
    <xdr:to>
      <xdr:col>2</xdr:col>
      <xdr:colOff>276225</xdr:colOff>
      <xdr:row>86</xdr:row>
      <xdr:rowOff>0</xdr:rowOff>
    </xdr:to>
    <xdr:sp>
      <xdr:nvSpPr>
        <xdr:cNvPr id="5" name="Rectangle 8"/>
        <xdr:cNvSpPr>
          <a:spLocks/>
        </xdr:cNvSpPr>
      </xdr:nvSpPr>
      <xdr:spPr>
        <a:xfrm>
          <a:off x="1838325" y="22669500"/>
          <a:ext cx="18478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ปลัดเทศบาลตำบลแก้งคร้อ</a:t>
          </a:r>
        </a:p>
      </xdr:txBody>
    </xdr:sp>
    <xdr:clientData/>
  </xdr:twoCellAnchor>
  <xdr:twoCellAnchor>
    <xdr:from>
      <xdr:col>2</xdr:col>
      <xdr:colOff>285750</xdr:colOff>
      <xdr:row>82</xdr:row>
      <xdr:rowOff>28575</xdr:rowOff>
    </xdr:from>
    <xdr:to>
      <xdr:col>5</xdr:col>
      <xdr:colOff>0</xdr:colOff>
      <xdr:row>86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3695700" y="22964775"/>
          <a:ext cx="20764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นายกเทศมนตรีตำบลแก้งคร้อ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0</xdr:col>
      <xdr:colOff>1828800</xdr:colOff>
      <xdr:row>35</xdr:row>
      <xdr:rowOff>0</xdr:rowOff>
    </xdr:to>
    <xdr:sp>
      <xdr:nvSpPr>
        <xdr:cNvPr id="1" name="Rectangle 4"/>
        <xdr:cNvSpPr>
          <a:spLocks/>
        </xdr:cNvSpPr>
      </xdr:nvSpPr>
      <xdr:spPr>
        <a:xfrm>
          <a:off x="9525" y="8439150"/>
          <a:ext cx="1819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หัวหน้าหน่วยงานคลัง</a:t>
          </a:r>
        </a:p>
      </xdr:txBody>
    </xdr:sp>
    <xdr:clientData/>
  </xdr:twoCellAnchor>
  <xdr:twoCellAnchor>
    <xdr:from>
      <xdr:col>0</xdr:col>
      <xdr:colOff>1838325</xdr:colOff>
      <xdr:row>30</xdr:row>
      <xdr:rowOff>9525</xdr:rowOff>
    </xdr:from>
    <xdr:to>
      <xdr:col>2</xdr:col>
      <xdr:colOff>276225</xdr:colOff>
      <xdr:row>35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838325" y="8439150"/>
          <a:ext cx="18478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ปลัดเทศบาลตำบลธาตุทอง</a:t>
          </a:r>
        </a:p>
      </xdr:txBody>
    </xdr:sp>
    <xdr:clientData/>
  </xdr:twoCellAnchor>
  <xdr:twoCellAnchor>
    <xdr:from>
      <xdr:col>2</xdr:col>
      <xdr:colOff>285750</xdr:colOff>
      <xdr:row>30</xdr:row>
      <xdr:rowOff>0</xdr:rowOff>
    </xdr:from>
    <xdr:to>
      <xdr:col>5</xdr:col>
      <xdr:colOff>0</xdr:colOff>
      <xdr:row>35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695700" y="8429625"/>
          <a:ext cx="20764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นายกเทศมนตรีตำบลธาตุทอง</a:t>
          </a:r>
        </a:p>
      </xdr:txBody>
    </xdr:sp>
    <xdr:clientData/>
  </xdr:twoCellAnchor>
  <xdr:twoCellAnchor>
    <xdr:from>
      <xdr:col>0</xdr:col>
      <xdr:colOff>9525</xdr:colOff>
      <xdr:row>81</xdr:row>
      <xdr:rowOff>9525</xdr:rowOff>
    </xdr:from>
    <xdr:to>
      <xdr:col>0</xdr:col>
      <xdr:colOff>1828800</xdr:colOff>
      <xdr:row>86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9525" y="22669500"/>
          <a:ext cx="1819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หัวหน้าหน่วยงานคลัง</a:t>
          </a:r>
        </a:p>
      </xdr:txBody>
    </xdr:sp>
    <xdr:clientData/>
  </xdr:twoCellAnchor>
  <xdr:twoCellAnchor>
    <xdr:from>
      <xdr:col>0</xdr:col>
      <xdr:colOff>1838325</xdr:colOff>
      <xdr:row>81</xdr:row>
      <xdr:rowOff>9525</xdr:rowOff>
    </xdr:from>
    <xdr:to>
      <xdr:col>2</xdr:col>
      <xdr:colOff>276225</xdr:colOff>
      <xdr:row>86</xdr:row>
      <xdr:rowOff>0</xdr:rowOff>
    </xdr:to>
    <xdr:sp>
      <xdr:nvSpPr>
        <xdr:cNvPr id="5" name="Rectangle 8"/>
        <xdr:cNvSpPr>
          <a:spLocks/>
        </xdr:cNvSpPr>
      </xdr:nvSpPr>
      <xdr:spPr>
        <a:xfrm>
          <a:off x="1838325" y="22669500"/>
          <a:ext cx="18478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ปลัดเทศบาลตำบลแก้งคร้อ</a:t>
          </a:r>
        </a:p>
      </xdr:txBody>
    </xdr:sp>
    <xdr:clientData/>
  </xdr:twoCellAnchor>
  <xdr:twoCellAnchor>
    <xdr:from>
      <xdr:col>2</xdr:col>
      <xdr:colOff>285750</xdr:colOff>
      <xdr:row>82</xdr:row>
      <xdr:rowOff>28575</xdr:rowOff>
    </xdr:from>
    <xdr:to>
      <xdr:col>5</xdr:col>
      <xdr:colOff>0</xdr:colOff>
      <xdr:row>86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3695700" y="22964775"/>
          <a:ext cx="20764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นายกเทศมนตรีตำบลแก้งคร้อ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zoomScaleSheetLayoutView="100" zoomScalePageLayoutView="0" workbookViewId="0" topLeftCell="A244">
      <selection activeCell="D214" sqref="D214"/>
    </sheetView>
  </sheetViews>
  <sheetFormatPr defaultColWidth="9.140625" defaultRowHeight="21" customHeight="1"/>
  <cols>
    <col min="1" max="1" width="49.7109375" style="50" customWidth="1"/>
    <col min="2" max="2" width="7.57421875" style="50" customWidth="1"/>
    <col min="3" max="3" width="16.140625" style="64" customWidth="1"/>
    <col min="4" max="4" width="15.7109375" style="64" customWidth="1"/>
    <col min="5" max="5" width="9.00390625" style="50" customWidth="1"/>
    <col min="6" max="6" width="49.7109375" style="50" customWidth="1"/>
    <col min="7" max="7" width="7.57421875" style="50" customWidth="1"/>
    <col min="8" max="8" width="16.140625" style="64" customWidth="1"/>
    <col min="9" max="9" width="15.7109375" style="64" customWidth="1"/>
    <col min="10" max="16384" width="9.00390625" style="50" customWidth="1"/>
  </cols>
  <sheetData>
    <row r="1" spans="1:9" ht="21" customHeight="1">
      <c r="A1" s="750" t="s">
        <v>80</v>
      </c>
      <c r="B1" s="750"/>
      <c r="C1" s="750"/>
      <c r="D1" s="750"/>
      <c r="F1" s="750" t="s">
        <v>80</v>
      </c>
      <c r="G1" s="750"/>
      <c r="H1" s="750"/>
      <c r="I1" s="750"/>
    </row>
    <row r="2" spans="1:9" ht="21" customHeight="1">
      <c r="A2" s="750" t="s">
        <v>81</v>
      </c>
      <c r="B2" s="750"/>
      <c r="C2" s="750"/>
      <c r="D2" s="750"/>
      <c r="F2" s="750" t="s">
        <v>81</v>
      </c>
      <c r="G2" s="750"/>
      <c r="H2" s="750"/>
      <c r="I2" s="750"/>
    </row>
    <row r="3" spans="1:9" ht="21" customHeight="1">
      <c r="A3" s="750" t="s">
        <v>82</v>
      </c>
      <c r="B3" s="750"/>
      <c r="C3" s="750"/>
      <c r="D3" s="750"/>
      <c r="F3" s="750" t="s">
        <v>82</v>
      </c>
      <c r="G3" s="750"/>
      <c r="H3" s="750"/>
      <c r="I3" s="750"/>
    </row>
    <row r="4" spans="1:9" ht="21" customHeight="1">
      <c r="A4" s="51" t="s">
        <v>32</v>
      </c>
      <c r="B4" s="51" t="s">
        <v>83</v>
      </c>
      <c r="C4" s="52" t="s">
        <v>84</v>
      </c>
      <c r="D4" s="52" t="s">
        <v>85</v>
      </c>
      <c r="F4" s="51" t="s">
        <v>32</v>
      </c>
      <c r="G4" s="51" t="s">
        <v>83</v>
      </c>
      <c r="H4" s="52" t="s">
        <v>84</v>
      </c>
      <c r="I4" s="52" t="s">
        <v>85</v>
      </c>
    </row>
    <row r="5" spans="1:9" ht="21" customHeight="1">
      <c r="A5" s="53" t="s">
        <v>86</v>
      </c>
      <c r="B5" s="54" t="s">
        <v>87</v>
      </c>
      <c r="C5" s="55">
        <v>0</v>
      </c>
      <c r="D5" s="56">
        <v>0</v>
      </c>
      <c r="F5" s="53" t="s">
        <v>86</v>
      </c>
      <c r="G5" s="54" t="s">
        <v>87</v>
      </c>
      <c r="H5" s="55">
        <v>0</v>
      </c>
      <c r="I5" s="56">
        <v>0</v>
      </c>
    </row>
    <row r="6" spans="1:9" ht="21" customHeight="1">
      <c r="A6" s="53" t="s">
        <v>88</v>
      </c>
      <c r="B6" s="54" t="s">
        <v>89</v>
      </c>
      <c r="C6" s="55">
        <v>238.18</v>
      </c>
      <c r="D6" s="56">
        <v>0</v>
      </c>
      <c r="F6" s="53" t="s">
        <v>88</v>
      </c>
      <c r="G6" s="54" t="s">
        <v>89</v>
      </c>
      <c r="H6" s="55">
        <v>238.18</v>
      </c>
      <c r="I6" s="56">
        <v>0</v>
      </c>
    </row>
    <row r="7" spans="1:9" ht="21" customHeight="1">
      <c r="A7" s="53" t="s">
        <v>90</v>
      </c>
      <c r="B7" s="54" t="s">
        <v>89</v>
      </c>
      <c r="C7" s="55">
        <v>4691000</v>
      </c>
      <c r="D7" s="56">
        <v>0</v>
      </c>
      <c r="F7" s="53" t="s">
        <v>90</v>
      </c>
      <c r="G7" s="54" t="s">
        <v>89</v>
      </c>
      <c r="H7" s="55">
        <v>4691000</v>
      </c>
      <c r="I7" s="56">
        <v>0</v>
      </c>
    </row>
    <row r="8" spans="1:9" ht="21" customHeight="1">
      <c r="A8" s="53" t="s">
        <v>91</v>
      </c>
      <c r="B8" s="54" t="s">
        <v>89</v>
      </c>
      <c r="C8" s="54">
        <v>1886851.69</v>
      </c>
      <c r="D8" s="56">
        <v>0</v>
      </c>
      <c r="F8" s="53" t="s">
        <v>91</v>
      </c>
      <c r="G8" s="54" t="s">
        <v>89</v>
      </c>
      <c r="H8" s="54">
        <v>1886851.69</v>
      </c>
      <c r="I8" s="56">
        <v>0</v>
      </c>
    </row>
    <row r="9" spans="1:9" ht="21" customHeight="1">
      <c r="A9" s="53" t="s">
        <v>92</v>
      </c>
      <c r="B9" s="54" t="s">
        <v>89</v>
      </c>
      <c r="C9" s="54">
        <v>0</v>
      </c>
      <c r="D9" s="56">
        <v>0</v>
      </c>
      <c r="F9" s="53" t="s">
        <v>92</v>
      </c>
      <c r="G9" s="54" t="s">
        <v>89</v>
      </c>
      <c r="H9" s="54">
        <v>0</v>
      </c>
      <c r="I9" s="56">
        <v>0</v>
      </c>
    </row>
    <row r="10" spans="1:9" ht="21" customHeight="1">
      <c r="A10" s="53" t="s">
        <v>93</v>
      </c>
      <c r="B10" s="54" t="s">
        <v>89</v>
      </c>
      <c r="C10" s="55">
        <v>12700604.25</v>
      </c>
      <c r="D10" s="56">
        <v>0</v>
      </c>
      <c r="F10" s="53" t="s">
        <v>93</v>
      </c>
      <c r="G10" s="54" t="s">
        <v>89</v>
      </c>
      <c r="H10" s="55">
        <v>12700604.25</v>
      </c>
      <c r="I10" s="56">
        <v>0</v>
      </c>
    </row>
    <row r="11" spans="1:9" ht="21" customHeight="1">
      <c r="A11" s="53" t="s">
        <v>94</v>
      </c>
      <c r="B11" s="54" t="s">
        <v>89</v>
      </c>
      <c r="C11" s="55">
        <v>626968.66</v>
      </c>
      <c r="D11" s="56">
        <v>0</v>
      </c>
      <c r="F11" s="53" t="s">
        <v>94</v>
      </c>
      <c r="G11" s="54" t="s">
        <v>89</v>
      </c>
      <c r="H11" s="55">
        <v>626968.66</v>
      </c>
      <c r="I11" s="56">
        <v>0</v>
      </c>
    </row>
    <row r="12" spans="1:9" ht="21" customHeight="1">
      <c r="A12" s="53" t="s">
        <v>95</v>
      </c>
      <c r="B12" s="54" t="s">
        <v>89</v>
      </c>
      <c r="C12" s="55">
        <v>11939885.34</v>
      </c>
      <c r="D12" s="56">
        <v>0</v>
      </c>
      <c r="F12" s="53" t="s">
        <v>95</v>
      </c>
      <c r="G12" s="54" t="s">
        <v>89</v>
      </c>
      <c r="H12" s="55">
        <v>11939885.34</v>
      </c>
      <c r="I12" s="56">
        <v>0</v>
      </c>
    </row>
    <row r="13" spans="1:9" ht="21" customHeight="1">
      <c r="A13" s="53" t="s">
        <v>96</v>
      </c>
      <c r="B13" s="57">
        <v>701</v>
      </c>
      <c r="C13" s="55">
        <v>1681293.82</v>
      </c>
      <c r="D13" s="56">
        <v>0</v>
      </c>
      <c r="F13" s="53" t="s">
        <v>96</v>
      </c>
      <c r="G13" s="57">
        <v>701</v>
      </c>
      <c r="H13" s="55">
        <v>1681293.82</v>
      </c>
      <c r="I13" s="56">
        <v>0</v>
      </c>
    </row>
    <row r="14" spans="1:9" ht="21" customHeight="1">
      <c r="A14" s="53" t="s">
        <v>97</v>
      </c>
      <c r="B14" s="57" t="s">
        <v>98</v>
      </c>
      <c r="C14" s="55">
        <v>30140.65</v>
      </c>
      <c r="D14" s="56"/>
      <c r="F14" s="53" t="s">
        <v>97</v>
      </c>
      <c r="G14" s="57" t="s">
        <v>98</v>
      </c>
      <c r="H14" s="55">
        <v>30140.65</v>
      </c>
      <c r="I14" s="56"/>
    </row>
    <row r="15" spans="1:9" ht="21" customHeight="1">
      <c r="A15" s="53" t="s">
        <v>99</v>
      </c>
      <c r="B15" s="54"/>
      <c r="C15" s="55">
        <v>107450</v>
      </c>
      <c r="D15" s="56">
        <v>0</v>
      </c>
      <c r="F15" s="53" t="s">
        <v>99</v>
      </c>
      <c r="G15" s="54"/>
      <c r="H15" s="55">
        <v>107450</v>
      </c>
      <c r="I15" s="56">
        <v>0</v>
      </c>
    </row>
    <row r="16" spans="1:9" ht="21" customHeight="1">
      <c r="A16" s="53" t="s">
        <v>100</v>
      </c>
      <c r="B16" s="54" t="s">
        <v>101</v>
      </c>
      <c r="C16" s="54">
        <v>1440</v>
      </c>
      <c r="D16" s="56">
        <v>0</v>
      </c>
      <c r="F16" s="53" t="s">
        <v>100</v>
      </c>
      <c r="G16" s="54" t="s">
        <v>101</v>
      </c>
      <c r="H16" s="54">
        <v>1440</v>
      </c>
      <c r="I16" s="56">
        <v>0</v>
      </c>
    </row>
    <row r="17" spans="1:9" ht="21" customHeight="1">
      <c r="A17" s="53" t="s">
        <v>73</v>
      </c>
      <c r="B17" s="57">
        <v>100</v>
      </c>
      <c r="C17" s="54">
        <v>7831560.64</v>
      </c>
      <c r="D17" s="56">
        <v>0</v>
      </c>
      <c r="F17" s="53" t="s">
        <v>73</v>
      </c>
      <c r="G17" s="57">
        <v>100</v>
      </c>
      <c r="H17" s="54">
        <v>7831560.64</v>
      </c>
      <c r="I17" s="56">
        <v>0</v>
      </c>
    </row>
    <row r="18" spans="1:9" ht="21" customHeight="1">
      <c r="A18" s="53" t="s">
        <v>46</v>
      </c>
      <c r="B18" s="57">
        <v>120</v>
      </c>
      <c r="C18" s="55">
        <v>180000</v>
      </c>
      <c r="D18" s="56">
        <v>0</v>
      </c>
      <c r="F18" s="53" t="s">
        <v>46</v>
      </c>
      <c r="G18" s="57">
        <v>120</v>
      </c>
      <c r="H18" s="55">
        <v>180000</v>
      </c>
      <c r="I18" s="56">
        <v>0</v>
      </c>
    </row>
    <row r="19" spans="1:9" ht="21" customHeight="1">
      <c r="A19" s="53" t="s">
        <v>74</v>
      </c>
      <c r="B19" s="57">
        <v>130</v>
      </c>
      <c r="C19" s="55">
        <v>4433927.18</v>
      </c>
      <c r="D19" s="56">
        <v>0</v>
      </c>
      <c r="F19" s="53" t="s">
        <v>74</v>
      </c>
      <c r="G19" s="57">
        <v>130</v>
      </c>
      <c r="H19" s="55">
        <v>4433927.18</v>
      </c>
      <c r="I19" s="56">
        <v>0</v>
      </c>
    </row>
    <row r="20" spans="1:9" ht="21" customHeight="1">
      <c r="A20" s="53" t="s">
        <v>75</v>
      </c>
      <c r="B20" s="57">
        <v>200</v>
      </c>
      <c r="C20" s="55">
        <v>263883.61</v>
      </c>
      <c r="D20" s="56">
        <v>0</v>
      </c>
      <c r="F20" s="53" t="s">
        <v>75</v>
      </c>
      <c r="G20" s="57">
        <v>200</v>
      </c>
      <c r="H20" s="55">
        <v>263883.61</v>
      </c>
      <c r="I20" s="56">
        <v>0</v>
      </c>
    </row>
    <row r="21" spans="1:9" ht="21" customHeight="1">
      <c r="A21" s="53" t="s">
        <v>76</v>
      </c>
      <c r="B21" s="57">
        <v>250</v>
      </c>
      <c r="C21" s="55">
        <v>5590137.8</v>
      </c>
      <c r="D21" s="56">
        <v>0</v>
      </c>
      <c r="F21" s="53" t="s">
        <v>76</v>
      </c>
      <c r="G21" s="57">
        <v>250</v>
      </c>
      <c r="H21" s="55">
        <v>5590137.8</v>
      </c>
      <c r="I21" s="56">
        <v>0</v>
      </c>
    </row>
    <row r="22" spans="1:9" ht="21" customHeight="1">
      <c r="A22" s="53" t="s">
        <v>77</v>
      </c>
      <c r="B22" s="57">
        <v>270</v>
      </c>
      <c r="C22" s="55">
        <v>4696817.57</v>
      </c>
      <c r="D22" s="56">
        <v>0</v>
      </c>
      <c r="F22" s="53" t="s">
        <v>77</v>
      </c>
      <c r="G22" s="57">
        <v>270</v>
      </c>
      <c r="H22" s="55">
        <v>4696817.57</v>
      </c>
      <c r="I22" s="56">
        <v>0</v>
      </c>
    </row>
    <row r="23" spans="1:9" ht="21" customHeight="1">
      <c r="A23" s="53" t="s">
        <v>51</v>
      </c>
      <c r="B23" s="57">
        <v>300</v>
      </c>
      <c r="C23" s="55">
        <v>263273.18</v>
      </c>
      <c r="D23" s="56">
        <v>0</v>
      </c>
      <c r="F23" s="53" t="s">
        <v>51</v>
      </c>
      <c r="G23" s="57">
        <v>300</v>
      </c>
      <c r="H23" s="55">
        <v>263273.18</v>
      </c>
      <c r="I23" s="56">
        <v>0</v>
      </c>
    </row>
    <row r="24" spans="1:9" ht="21" customHeight="1">
      <c r="A24" s="53" t="s">
        <v>54</v>
      </c>
      <c r="B24" s="57">
        <v>450</v>
      </c>
      <c r="C24" s="55">
        <v>548280</v>
      </c>
      <c r="D24" s="56">
        <v>0</v>
      </c>
      <c r="F24" s="53" t="s">
        <v>54</v>
      </c>
      <c r="G24" s="57">
        <v>450</v>
      </c>
      <c r="H24" s="55">
        <v>548280</v>
      </c>
      <c r="I24" s="56">
        <v>0</v>
      </c>
    </row>
    <row r="25" spans="1:9" ht="21" customHeight="1">
      <c r="A25" s="53" t="s">
        <v>55</v>
      </c>
      <c r="B25" s="57">
        <v>500</v>
      </c>
      <c r="C25" s="55">
        <v>8032660</v>
      </c>
      <c r="D25" s="56">
        <v>0</v>
      </c>
      <c r="F25" s="53" t="s">
        <v>55</v>
      </c>
      <c r="G25" s="57">
        <v>500</v>
      </c>
      <c r="H25" s="55">
        <v>8032660</v>
      </c>
      <c r="I25" s="56">
        <v>0</v>
      </c>
    </row>
    <row r="26" spans="1:9" ht="21" customHeight="1">
      <c r="A26" s="53" t="s">
        <v>2</v>
      </c>
      <c r="B26" s="58" t="s">
        <v>102</v>
      </c>
      <c r="C26" s="55">
        <v>15127013</v>
      </c>
      <c r="D26" s="56">
        <v>0</v>
      </c>
      <c r="F26" s="53" t="s">
        <v>2</v>
      </c>
      <c r="G26" s="58" t="s">
        <v>102</v>
      </c>
      <c r="H26" s="55">
        <v>15127013</v>
      </c>
      <c r="I26" s="56">
        <v>0</v>
      </c>
    </row>
    <row r="27" spans="1:9" ht="21" customHeight="1">
      <c r="A27" s="53" t="s">
        <v>52</v>
      </c>
      <c r="B27" s="57">
        <v>400</v>
      </c>
      <c r="C27" s="55">
        <v>4196000</v>
      </c>
      <c r="D27" s="56">
        <v>0</v>
      </c>
      <c r="F27" s="53" t="s">
        <v>52</v>
      </c>
      <c r="G27" s="57">
        <v>400</v>
      </c>
      <c r="H27" s="55">
        <v>4196000</v>
      </c>
      <c r="I27" s="56">
        <v>0</v>
      </c>
    </row>
    <row r="28" spans="1:9" ht="21" customHeight="1">
      <c r="A28" s="53" t="s">
        <v>103</v>
      </c>
      <c r="B28" s="57">
        <v>821</v>
      </c>
      <c r="C28" s="55">
        <v>0</v>
      </c>
      <c r="D28" s="56">
        <v>60226738.74</v>
      </c>
      <c r="F28" s="53" t="s">
        <v>103</v>
      </c>
      <c r="G28" s="57">
        <v>821</v>
      </c>
      <c r="H28" s="55">
        <v>0</v>
      </c>
      <c r="I28" s="56">
        <v>60226738.74</v>
      </c>
    </row>
    <row r="29" spans="1:9" ht="21" customHeight="1">
      <c r="A29" s="53" t="s">
        <v>104</v>
      </c>
      <c r="B29" s="57">
        <v>900</v>
      </c>
      <c r="C29" s="55">
        <v>0</v>
      </c>
      <c r="D29" s="56">
        <v>1205635.4</v>
      </c>
      <c r="F29" s="53" t="s">
        <v>104</v>
      </c>
      <c r="G29" s="57">
        <v>900</v>
      </c>
      <c r="H29" s="55">
        <v>0</v>
      </c>
      <c r="I29" s="56">
        <v>1205635.4</v>
      </c>
    </row>
    <row r="30" spans="1:9" ht="21" customHeight="1">
      <c r="A30" s="53" t="s">
        <v>105</v>
      </c>
      <c r="B30" s="57"/>
      <c r="C30" s="54">
        <v>0</v>
      </c>
      <c r="D30" s="56">
        <v>259300</v>
      </c>
      <c r="F30" s="53" t="s">
        <v>105</v>
      </c>
      <c r="G30" s="57"/>
      <c r="H30" s="54">
        <v>0</v>
      </c>
      <c r="I30" s="56">
        <v>259300</v>
      </c>
    </row>
    <row r="31" spans="1:9" ht="21" customHeight="1">
      <c r="A31" s="53" t="s">
        <v>106</v>
      </c>
      <c r="B31" s="57">
        <v>600</v>
      </c>
      <c r="C31" s="54">
        <v>0</v>
      </c>
      <c r="D31" s="56">
        <v>354400</v>
      </c>
      <c r="F31" s="53" t="s">
        <v>106</v>
      </c>
      <c r="G31" s="57">
        <v>600</v>
      </c>
      <c r="H31" s="54">
        <v>0</v>
      </c>
      <c r="I31" s="56">
        <v>354400</v>
      </c>
    </row>
    <row r="32" spans="1:9" ht="21" customHeight="1">
      <c r="A32" s="53" t="s">
        <v>107</v>
      </c>
      <c r="B32" s="57">
        <v>700</v>
      </c>
      <c r="C32" s="54">
        <v>0</v>
      </c>
      <c r="D32" s="56">
        <v>9267083.62</v>
      </c>
      <c r="F32" s="53" t="s">
        <v>107</v>
      </c>
      <c r="G32" s="57">
        <v>700</v>
      </c>
      <c r="H32" s="54">
        <v>0</v>
      </c>
      <c r="I32" s="56">
        <v>9267083.62</v>
      </c>
    </row>
    <row r="33" spans="1:9" ht="21" customHeight="1">
      <c r="A33" s="53" t="s">
        <v>108</v>
      </c>
      <c r="B33" s="57"/>
      <c r="C33" s="54">
        <v>0</v>
      </c>
      <c r="D33" s="56">
        <v>13039709.15</v>
      </c>
      <c r="F33" s="53" t="s">
        <v>108</v>
      </c>
      <c r="G33" s="57"/>
      <c r="H33" s="54">
        <v>0</v>
      </c>
      <c r="I33" s="56">
        <v>13039709.15</v>
      </c>
    </row>
    <row r="34" spans="1:9" ht="21" customHeight="1">
      <c r="A34" s="53" t="s">
        <v>109</v>
      </c>
      <c r="B34" s="57">
        <v>700</v>
      </c>
      <c r="C34" s="54">
        <v>0</v>
      </c>
      <c r="D34" s="56">
        <v>1440</v>
      </c>
      <c r="F34" s="53" t="s">
        <v>109</v>
      </c>
      <c r="G34" s="57">
        <v>700</v>
      </c>
      <c r="H34" s="54">
        <v>0</v>
      </c>
      <c r="I34" s="56">
        <v>1440</v>
      </c>
    </row>
    <row r="35" spans="1:9" ht="21" customHeight="1">
      <c r="A35" s="53" t="s">
        <v>110</v>
      </c>
      <c r="B35" s="57"/>
      <c r="C35" s="54">
        <v>0</v>
      </c>
      <c r="D35" s="56">
        <v>734418.66</v>
      </c>
      <c r="F35" s="53" t="s">
        <v>110</v>
      </c>
      <c r="G35" s="57"/>
      <c r="H35" s="54">
        <v>0</v>
      </c>
      <c r="I35" s="56">
        <v>734418.66</v>
      </c>
    </row>
    <row r="36" spans="1:9" ht="21" customHeight="1">
      <c r="A36" s="53" t="s">
        <v>111</v>
      </c>
      <c r="B36" s="57"/>
      <c r="C36" s="54">
        <v>259300</v>
      </c>
      <c r="D36" s="56"/>
      <c r="F36" s="53" t="s">
        <v>111</v>
      </c>
      <c r="G36" s="57"/>
      <c r="H36" s="54">
        <v>259300</v>
      </c>
      <c r="I36" s="56"/>
    </row>
    <row r="37" spans="1:9" ht="21" customHeight="1">
      <c r="A37" s="53"/>
      <c r="B37" s="57"/>
      <c r="C37" s="54">
        <v>0</v>
      </c>
      <c r="D37" s="56">
        <v>0</v>
      </c>
      <c r="F37" s="53"/>
      <c r="G37" s="57"/>
      <c r="H37" s="54">
        <v>0</v>
      </c>
      <c r="I37" s="56">
        <v>0</v>
      </c>
    </row>
    <row r="38" spans="1:9" ht="21" customHeight="1">
      <c r="A38" s="53"/>
      <c r="B38" s="57"/>
      <c r="C38" s="54"/>
      <c r="D38" s="56"/>
      <c r="F38" s="53"/>
      <c r="G38" s="57"/>
      <c r="H38" s="54"/>
      <c r="I38" s="56"/>
    </row>
    <row r="39" spans="1:9" ht="21" customHeight="1">
      <c r="A39" s="53"/>
      <c r="B39" s="57"/>
      <c r="C39" s="54"/>
      <c r="D39" s="56"/>
      <c r="F39" s="53"/>
      <c r="G39" s="57"/>
      <c r="H39" s="54"/>
      <c r="I39" s="56"/>
    </row>
    <row r="40" spans="1:9" ht="21" customHeight="1">
      <c r="A40" s="53"/>
      <c r="B40" s="57"/>
      <c r="C40" s="54"/>
      <c r="D40" s="56"/>
      <c r="F40" s="53"/>
      <c r="G40" s="57"/>
      <c r="H40" s="54"/>
      <c r="I40" s="56"/>
    </row>
    <row r="41" spans="1:9" ht="21" customHeight="1">
      <c r="A41" s="53"/>
      <c r="B41" s="57"/>
      <c r="C41" s="54"/>
      <c r="D41" s="56"/>
      <c r="F41" s="53"/>
      <c r="G41" s="57"/>
      <c r="H41" s="54"/>
      <c r="I41" s="56"/>
    </row>
    <row r="42" spans="1:9" ht="21" customHeight="1">
      <c r="A42" s="53"/>
      <c r="B42" s="57"/>
      <c r="C42" s="55"/>
      <c r="D42" s="56"/>
      <c r="F42" s="53"/>
      <c r="G42" s="57"/>
      <c r="H42" s="55"/>
      <c r="I42" s="56"/>
    </row>
    <row r="43" spans="1:9" ht="21" customHeight="1">
      <c r="A43" s="59"/>
      <c r="B43" s="59"/>
      <c r="C43" s="55">
        <f>SUM(C5:C42)</f>
        <v>85088725.57</v>
      </c>
      <c r="D43" s="56">
        <f>SUM(D5:D42)</f>
        <v>85088725.57000001</v>
      </c>
      <c r="F43" s="59"/>
      <c r="G43" s="59"/>
      <c r="H43" s="55">
        <f>SUM(H5:H42)</f>
        <v>85088725.57</v>
      </c>
      <c r="I43" s="56">
        <f>SUM(I5:I42)</f>
        <v>85088725.57000001</v>
      </c>
    </row>
    <row r="44" spans="3:9" s="318" customFormat="1" ht="21" customHeight="1">
      <c r="C44" s="319"/>
      <c r="D44" s="320"/>
      <c r="H44" s="319"/>
      <c r="I44" s="320"/>
    </row>
    <row r="45" spans="3:9" s="318" customFormat="1" ht="21" customHeight="1">
      <c r="C45" s="319"/>
      <c r="D45" s="320"/>
      <c r="H45" s="319"/>
      <c r="I45" s="320"/>
    </row>
    <row r="46" spans="1:9" ht="21" customHeight="1">
      <c r="A46" s="750" t="s">
        <v>71</v>
      </c>
      <c r="B46" s="750"/>
      <c r="C46" s="750"/>
      <c r="D46" s="750"/>
      <c r="F46" s="750" t="s">
        <v>71</v>
      </c>
      <c r="G46" s="750"/>
      <c r="H46" s="750"/>
      <c r="I46" s="750"/>
    </row>
    <row r="47" spans="1:9" ht="21" customHeight="1">
      <c r="A47" s="750" t="s">
        <v>112</v>
      </c>
      <c r="B47" s="750"/>
      <c r="C47" s="750"/>
      <c r="D47" s="750"/>
      <c r="F47" s="750" t="s">
        <v>112</v>
      </c>
      <c r="G47" s="750"/>
      <c r="H47" s="750"/>
      <c r="I47" s="750"/>
    </row>
    <row r="48" spans="1:9" ht="21" customHeight="1">
      <c r="A48" s="750" t="s">
        <v>113</v>
      </c>
      <c r="B48" s="750"/>
      <c r="C48" s="750"/>
      <c r="D48" s="750"/>
      <c r="F48" s="750" t="s">
        <v>113</v>
      </c>
      <c r="G48" s="750"/>
      <c r="H48" s="750"/>
      <c r="I48" s="750"/>
    </row>
    <row r="49" spans="1:9" ht="21" customHeight="1">
      <c r="A49" s="51" t="s">
        <v>32</v>
      </c>
      <c r="B49" s="51" t="s">
        <v>83</v>
      </c>
      <c r="C49" s="52" t="s">
        <v>84</v>
      </c>
      <c r="D49" s="52" t="s">
        <v>85</v>
      </c>
      <c r="F49" s="51" t="s">
        <v>32</v>
      </c>
      <c r="G49" s="51" t="s">
        <v>83</v>
      </c>
      <c r="H49" s="52" t="s">
        <v>84</v>
      </c>
      <c r="I49" s="52" t="s">
        <v>85</v>
      </c>
    </row>
    <row r="50" spans="1:9" ht="21" customHeight="1">
      <c r="A50" s="53" t="s">
        <v>86</v>
      </c>
      <c r="B50" s="54" t="s">
        <v>87</v>
      </c>
      <c r="C50" s="55">
        <v>0</v>
      </c>
      <c r="D50" s="56">
        <v>0</v>
      </c>
      <c r="F50" s="53" t="s">
        <v>86</v>
      </c>
      <c r="G50" s="54" t="s">
        <v>87</v>
      </c>
      <c r="H50" s="55">
        <v>0</v>
      </c>
      <c r="I50" s="56">
        <v>0</v>
      </c>
    </row>
    <row r="51" spans="1:9" ht="21" customHeight="1">
      <c r="A51" s="53" t="s">
        <v>114</v>
      </c>
      <c r="B51" s="54" t="s">
        <v>89</v>
      </c>
      <c r="C51" s="55">
        <v>99311.15</v>
      </c>
      <c r="D51" s="56">
        <v>0</v>
      </c>
      <c r="F51" s="53" t="s">
        <v>114</v>
      </c>
      <c r="G51" s="54" t="s">
        <v>89</v>
      </c>
      <c r="H51" s="55">
        <v>99311.15</v>
      </c>
      <c r="I51" s="56">
        <v>0</v>
      </c>
    </row>
    <row r="52" spans="1:9" ht="21" customHeight="1">
      <c r="A52" s="53" t="s">
        <v>115</v>
      </c>
      <c r="B52" s="54" t="s">
        <v>89</v>
      </c>
      <c r="C52" s="55">
        <v>1258665</v>
      </c>
      <c r="D52" s="56">
        <v>0</v>
      </c>
      <c r="F52" s="53" t="s">
        <v>115</v>
      </c>
      <c r="G52" s="54" t="s">
        <v>89</v>
      </c>
      <c r="H52" s="55">
        <v>1258665</v>
      </c>
      <c r="I52" s="56">
        <v>0</v>
      </c>
    </row>
    <row r="53" spans="1:9" ht="21" customHeight="1">
      <c r="A53" s="53" t="s">
        <v>116</v>
      </c>
      <c r="B53" s="54" t="s">
        <v>89</v>
      </c>
      <c r="C53" s="54">
        <v>1132001.01</v>
      </c>
      <c r="D53" s="56">
        <v>0</v>
      </c>
      <c r="F53" s="53" t="s">
        <v>116</v>
      </c>
      <c r="G53" s="54" t="s">
        <v>89</v>
      </c>
      <c r="H53" s="54">
        <v>1132001.01</v>
      </c>
      <c r="I53" s="56">
        <v>0</v>
      </c>
    </row>
    <row r="54" spans="1:9" ht="21" customHeight="1">
      <c r="A54" s="53" t="s">
        <v>117</v>
      </c>
      <c r="B54" s="54"/>
      <c r="C54" s="54">
        <v>245199.32</v>
      </c>
      <c r="D54" s="56"/>
      <c r="F54" s="53" t="s">
        <v>117</v>
      </c>
      <c r="G54" s="54"/>
      <c r="H54" s="54">
        <v>245199.32</v>
      </c>
      <c r="I54" s="56"/>
    </row>
    <row r="55" spans="1:9" ht="21" customHeight="1">
      <c r="A55" s="53" t="s">
        <v>118</v>
      </c>
      <c r="B55" s="54" t="s">
        <v>89</v>
      </c>
      <c r="C55" s="54">
        <v>11208482.22</v>
      </c>
      <c r="D55" s="56">
        <v>0</v>
      </c>
      <c r="F55" s="53" t="s">
        <v>118</v>
      </c>
      <c r="G55" s="54" t="s">
        <v>89</v>
      </c>
      <c r="H55" s="54">
        <v>11208482.22</v>
      </c>
      <c r="I55" s="56">
        <v>0</v>
      </c>
    </row>
    <row r="56" spans="1:9" ht="21" customHeight="1">
      <c r="A56" s="53" t="s">
        <v>119</v>
      </c>
      <c r="B56" s="54" t="s">
        <v>89</v>
      </c>
      <c r="C56" s="55">
        <v>11234929.48</v>
      </c>
      <c r="D56" s="56">
        <v>0</v>
      </c>
      <c r="F56" s="53" t="s">
        <v>119</v>
      </c>
      <c r="G56" s="54" t="s">
        <v>89</v>
      </c>
      <c r="H56" s="55">
        <v>11234929.48</v>
      </c>
      <c r="I56" s="56">
        <v>0</v>
      </c>
    </row>
    <row r="57" spans="1:9" ht="21" customHeight="1">
      <c r="A57" s="53" t="s">
        <v>120</v>
      </c>
      <c r="B57" s="54" t="s">
        <v>89</v>
      </c>
      <c r="C57" s="55">
        <v>99130.7</v>
      </c>
      <c r="D57" s="56">
        <v>0</v>
      </c>
      <c r="F57" s="53" t="s">
        <v>120</v>
      </c>
      <c r="G57" s="54" t="s">
        <v>89</v>
      </c>
      <c r="H57" s="55">
        <v>99130.7</v>
      </c>
      <c r="I57" s="56">
        <v>0</v>
      </c>
    </row>
    <row r="58" spans="1:9" ht="21" customHeight="1">
      <c r="A58" s="53" t="s">
        <v>121</v>
      </c>
      <c r="B58" s="54" t="s">
        <v>89</v>
      </c>
      <c r="C58" s="55">
        <v>114959.37</v>
      </c>
      <c r="D58" s="56">
        <v>0</v>
      </c>
      <c r="F58" s="53" t="s">
        <v>121</v>
      </c>
      <c r="G58" s="54" t="s">
        <v>89</v>
      </c>
      <c r="H58" s="55">
        <v>114959.37</v>
      </c>
      <c r="I58" s="56">
        <v>0</v>
      </c>
    </row>
    <row r="59" spans="1:9" ht="21" customHeight="1">
      <c r="A59" s="53" t="s">
        <v>96</v>
      </c>
      <c r="B59" s="57">
        <v>701</v>
      </c>
      <c r="C59" s="55">
        <v>6405630.62</v>
      </c>
      <c r="D59" s="56">
        <v>0</v>
      </c>
      <c r="F59" s="53" t="s">
        <v>96</v>
      </c>
      <c r="G59" s="57">
        <v>701</v>
      </c>
      <c r="H59" s="55">
        <v>6405630.62</v>
      </c>
      <c r="I59" s="56">
        <v>0</v>
      </c>
    </row>
    <row r="60" spans="1:9" ht="21" customHeight="1">
      <c r="A60" s="53" t="s">
        <v>122</v>
      </c>
      <c r="B60" s="54"/>
      <c r="C60" s="55">
        <v>18475</v>
      </c>
      <c r="D60" s="56">
        <v>0</v>
      </c>
      <c r="F60" s="53" t="s">
        <v>122</v>
      </c>
      <c r="G60" s="54"/>
      <c r="H60" s="55">
        <v>18475</v>
      </c>
      <c r="I60" s="56">
        <v>0</v>
      </c>
    </row>
    <row r="61" spans="1:9" ht="21" customHeight="1">
      <c r="A61" s="53" t="s">
        <v>123</v>
      </c>
      <c r="B61" s="54" t="s">
        <v>124</v>
      </c>
      <c r="C61" s="55">
        <v>5212</v>
      </c>
      <c r="D61" s="56">
        <v>0</v>
      </c>
      <c r="F61" s="53" t="s">
        <v>123</v>
      </c>
      <c r="G61" s="54" t="s">
        <v>124</v>
      </c>
      <c r="H61" s="55">
        <v>5212</v>
      </c>
      <c r="I61" s="56">
        <v>0</v>
      </c>
    </row>
    <row r="62" spans="1:9" ht="21" customHeight="1">
      <c r="A62" s="53" t="s">
        <v>125</v>
      </c>
      <c r="B62" s="54" t="s">
        <v>98</v>
      </c>
      <c r="C62" s="54">
        <v>0</v>
      </c>
      <c r="D62" s="56">
        <v>0</v>
      </c>
      <c r="F62" s="53" t="s">
        <v>125</v>
      </c>
      <c r="G62" s="54" t="s">
        <v>98</v>
      </c>
      <c r="H62" s="54">
        <v>0</v>
      </c>
      <c r="I62" s="56">
        <v>0</v>
      </c>
    </row>
    <row r="63" spans="1:9" ht="21" customHeight="1">
      <c r="A63" s="53" t="s">
        <v>100</v>
      </c>
      <c r="B63" s="54" t="s">
        <v>101</v>
      </c>
      <c r="C63" s="54">
        <v>0</v>
      </c>
      <c r="D63" s="56">
        <v>0</v>
      </c>
      <c r="F63" s="53" t="s">
        <v>100</v>
      </c>
      <c r="G63" s="54" t="s">
        <v>101</v>
      </c>
      <c r="H63" s="54">
        <v>0</v>
      </c>
      <c r="I63" s="56">
        <v>0</v>
      </c>
    </row>
    <row r="64" spans="1:9" ht="21" customHeight="1">
      <c r="A64" s="53" t="s">
        <v>73</v>
      </c>
      <c r="B64" s="57">
        <v>100</v>
      </c>
      <c r="C64" s="55">
        <v>6162662.06</v>
      </c>
      <c r="D64" s="56">
        <v>0</v>
      </c>
      <c r="F64" s="53" t="s">
        <v>73</v>
      </c>
      <c r="G64" s="57">
        <v>100</v>
      </c>
      <c r="H64" s="55">
        <v>6162662.06</v>
      </c>
      <c r="I64" s="56">
        <v>0</v>
      </c>
    </row>
    <row r="65" spans="1:9" ht="21" customHeight="1">
      <c r="A65" s="53" t="s">
        <v>46</v>
      </c>
      <c r="B65" s="57">
        <v>120</v>
      </c>
      <c r="C65" s="55">
        <v>869460</v>
      </c>
      <c r="D65" s="56">
        <v>0</v>
      </c>
      <c r="F65" s="53" t="s">
        <v>46</v>
      </c>
      <c r="G65" s="57">
        <v>120</v>
      </c>
      <c r="H65" s="55">
        <v>869460</v>
      </c>
      <c r="I65" s="56">
        <v>0</v>
      </c>
    </row>
    <row r="66" spans="1:9" ht="21" customHeight="1">
      <c r="A66" s="53" t="s">
        <v>74</v>
      </c>
      <c r="B66" s="57">
        <v>130</v>
      </c>
      <c r="C66" s="55">
        <v>4320340</v>
      </c>
      <c r="D66" s="56">
        <v>0</v>
      </c>
      <c r="F66" s="53" t="s">
        <v>74</v>
      </c>
      <c r="G66" s="57">
        <v>130</v>
      </c>
      <c r="H66" s="55">
        <v>4320340</v>
      </c>
      <c r="I66" s="56">
        <v>0</v>
      </c>
    </row>
    <row r="67" spans="1:9" ht="21" customHeight="1">
      <c r="A67" s="53" t="s">
        <v>75</v>
      </c>
      <c r="B67" s="57">
        <v>200</v>
      </c>
      <c r="C67" s="55">
        <v>4350576</v>
      </c>
      <c r="D67" s="56">
        <v>0</v>
      </c>
      <c r="F67" s="53" t="s">
        <v>75</v>
      </c>
      <c r="G67" s="57">
        <v>200</v>
      </c>
      <c r="H67" s="55">
        <v>4350576</v>
      </c>
      <c r="I67" s="56">
        <v>0</v>
      </c>
    </row>
    <row r="68" spans="1:9" ht="21" customHeight="1">
      <c r="A68" s="53" t="s">
        <v>76</v>
      </c>
      <c r="B68" s="57">
        <v>250</v>
      </c>
      <c r="C68" s="55">
        <v>4612364.5</v>
      </c>
      <c r="D68" s="56">
        <v>0</v>
      </c>
      <c r="F68" s="53" t="s">
        <v>76</v>
      </c>
      <c r="G68" s="57">
        <v>250</v>
      </c>
      <c r="H68" s="55">
        <v>4612364.5</v>
      </c>
      <c r="I68" s="56">
        <v>0</v>
      </c>
    </row>
    <row r="69" spans="1:9" ht="21" customHeight="1">
      <c r="A69" s="53" t="s">
        <v>77</v>
      </c>
      <c r="B69" s="57">
        <v>270</v>
      </c>
      <c r="C69" s="55">
        <v>6933425.91</v>
      </c>
      <c r="D69" s="56">
        <v>0</v>
      </c>
      <c r="F69" s="53" t="s">
        <v>77</v>
      </c>
      <c r="G69" s="57">
        <v>270</v>
      </c>
      <c r="H69" s="55">
        <v>6933425.91</v>
      </c>
      <c r="I69" s="56">
        <v>0</v>
      </c>
    </row>
    <row r="70" spans="1:9" ht="21" customHeight="1">
      <c r="A70" s="53" t="s">
        <v>51</v>
      </c>
      <c r="B70" s="57">
        <v>300</v>
      </c>
      <c r="C70" s="55">
        <v>468654.64</v>
      </c>
      <c r="D70" s="56">
        <v>0</v>
      </c>
      <c r="F70" s="53" t="s">
        <v>51</v>
      </c>
      <c r="G70" s="57">
        <v>300</v>
      </c>
      <c r="H70" s="55">
        <v>468654.64</v>
      </c>
      <c r="I70" s="56">
        <v>0</v>
      </c>
    </row>
    <row r="71" spans="1:9" ht="21" customHeight="1">
      <c r="A71" s="53" t="s">
        <v>54</v>
      </c>
      <c r="B71" s="57">
        <v>450</v>
      </c>
      <c r="C71" s="55">
        <v>324100</v>
      </c>
      <c r="D71" s="56">
        <v>0</v>
      </c>
      <c r="F71" s="53" t="s">
        <v>54</v>
      </c>
      <c r="G71" s="57">
        <v>450</v>
      </c>
      <c r="H71" s="55">
        <v>324100</v>
      </c>
      <c r="I71" s="56">
        <v>0</v>
      </c>
    </row>
    <row r="72" spans="1:9" ht="21" customHeight="1">
      <c r="A72" s="53" t="s">
        <v>55</v>
      </c>
      <c r="B72" s="57">
        <v>500</v>
      </c>
      <c r="C72" s="55">
        <v>7843600</v>
      </c>
      <c r="D72" s="56">
        <v>0</v>
      </c>
      <c r="F72" s="53" t="s">
        <v>55</v>
      </c>
      <c r="G72" s="57">
        <v>500</v>
      </c>
      <c r="H72" s="55">
        <v>7843600</v>
      </c>
      <c r="I72" s="56">
        <v>0</v>
      </c>
    </row>
    <row r="73" spans="1:9" ht="21" customHeight="1">
      <c r="A73" s="53" t="s">
        <v>2</v>
      </c>
      <c r="B73" s="58" t="s">
        <v>102</v>
      </c>
      <c r="C73" s="55">
        <v>7103092.31</v>
      </c>
      <c r="D73" s="56">
        <v>0</v>
      </c>
      <c r="F73" s="53" t="s">
        <v>2</v>
      </c>
      <c r="G73" s="58" t="s">
        <v>102</v>
      </c>
      <c r="H73" s="55">
        <v>7103092.31</v>
      </c>
      <c r="I73" s="56">
        <v>0</v>
      </c>
    </row>
    <row r="74" spans="1:9" ht="21" customHeight="1">
      <c r="A74" s="53" t="s">
        <v>78</v>
      </c>
      <c r="B74" s="57"/>
      <c r="C74" s="55">
        <v>723921.94</v>
      </c>
      <c r="D74" s="56">
        <v>0</v>
      </c>
      <c r="F74" s="53" t="s">
        <v>78</v>
      </c>
      <c r="G74" s="57"/>
      <c r="H74" s="55">
        <v>723921.94</v>
      </c>
      <c r="I74" s="56">
        <v>0</v>
      </c>
    </row>
    <row r="75" spans="1:9" ht="21" customHeight="1">
      <c r="A75" s="53" t="s">
        <v>52</v>
      </c>
      <c r="B75" s="57">
        <v>400</v>
      </c>
      <c r="C75" s="55">
        <v>4137954.03</v>
      </c>
      <c r="D75" s="56">
        <v>0</v>
      </c>
      <c r="F75" s="53" t="s">
        <v>52</v>
      </c>
      <c r="G75" s="57">
        <v>400</v>
      </c>
      <c r="H75" s="55">
        <v>4137954.03</v>
      </c>
      <c r="I75" s="56">
        <v>0</v>
      </c>
    </row>
    <row r="76" spans="1:9" ht="21" customHeight="1">
      <c r="A76" s="53" t="s">
        <v>103</v>
      </c>
      <c r="B76" s="57">
        <v>821</v>
      </c>
      <c r="C76" s="55">
        <v>0</v>
      </c>
      <c r="D76" s="56">
        <v>57754534.04</v>
      </c>
      <c r="F76" s="53" t="s">
        <v>103</v>
      </c>
      <c r="G76" s="57">
        <v>821</v>
      </c>
      <c r="H76" s="55">
        <v>0</v>
      </c>
      <c r="I76" s="56">
        <v>57754534.04</v>
      </c>
    </row>
    <row r="77" spans="1:9" ht="21" customHeight="1">
      <c r="A77" s="53" t="s">
        <v>104</v>
      </c>
      <c r="B77" s="57">
        <v>900</v>
      </c>
      <c r="C77" s="54">
        <v>0</v>
      </c>
      <c r="D77" s="56">
        <v>567742.95</v>
      </c>
      <c r="F77" s="53" t="s">
        <v>104</v>
      </c>
      <c r="G77" s="57">
        <v>900</v>
      </c>
      <c r="H77" s="54">
        <v>0</v>
      </c>
      <c r="I77" s="56">
        <v>567742.95</v>
      </c>
    </row>
    <row r="78" spans="1:9" ht="21" customHeight="1">
      <c r="A78" s="53" t="s">
        <v>126</v>
      </c>
      <c r="B78" s="57"/>
      <c r="C78" s="54">
        <v>0</v>
      </c>
      <c r="D78" s="56">
        <v>0</v>
      </c>
      <c r="F78" s="53" t="s">
        <v>126</v>
      </c>
      <c r="G78" s="57"/>
      <c r="H78" s="54">
        <v>0</v>
      </c>
      <c r="I78" s="56">
        <v>0</v>
      </c>
    </row>
    <row r="79" spans="1:9" ht="21" customHeight="1">
      <c r="A79" s="53" t="s">
        <v>127</v>
      </c>
      <c r="B79" s="57">
        <v>600</v>
      </c>
      <c r="C79" s="54">
        <v>17000</v>
      </c>
      <c r="D79" s="56">
        <v>0</v>
      </c>
      <c r="F79" s="53" t="s">
        <v>127</v>
      </c>
      <c r="G79" s="57">
        <v>600</v>
      </c>
      <c r="H79" s="54">
        <v>17000</v>
      </c>
      <c r="I79" s="56">
        <v>0</v>
      </c>
    </row>
    <row r="80" spans="1:9" ht="21" customHeight="1">
      <c r="A80" s="53" t="s">
        <v>128</v>
      </c>
      <c r="B80" s="57"/>
      <c r="C80" s="54">
        <v>0</v>
      </c>
      <c r="D80" s="56">
        <v>1643460.19</v>
      </c>
      <c r="F80" s="53" t="s">
        <v>128</v>
      </c>
      <c r="G80" s="57"/>
      <c r="H80" s="54">
        <v>0</v>
      </c>
      <c r="I80" s="56">
        <v>1643460.19</v>
      </c>
    </row>
    <row r="81" spans="1:9" ht="21" customHeight="1">
      <c r="A81" s="53" t="s">
        <v>129</v>
      </c>
      <c r="B81" s="57"/>
      <c r="C81" s="54">
        <v>17000</v>
      </c>
      <c r="D81" s="56"/>
      <c r="F81" s="53" t="s">
        <v>129</v>
      </c>
      <c r="G81" s="57"/>
      <c r="H81" s="54">
        <v>17000</v>
      </c>
      <c r="I81" s="56"/>
    </row>
    <row r="82" spans="1:9" ht="21" customHeight="1">
      <c r="A82" s="53" t="s">
        <v>130</v>
      </c>
      <c r="B82" s="57"/>
      <c r="C82" s="54">
        <v>0</v>
      </c>
      <c r="D82" s="56"/>
      <c r="F82" s="53" t="s">
        <v>130</v>
      </c>
      <c r="G82" s="57"/>
      <c r="H82" s="54">
        <v>0</v>
      </c>
      <c r="I82" s="56"/>
    </row>
    <row r="83" spans="1:9" ht="21" customHeight="1">
      <c r="A83" s="53" t="s">
        <v>131</v>
      </c>
      <c r="B83" s="57" t="s">
        <v>132</v>
      </c>
      <c r="C83" s="54">
        <v>0</v>
      </c>
      <c r="D83" s="56">
        <v>2257695</v>
      </c>
      <c r="F83" s="53" t="s">
        <v>131</v>
      </c>
      <c r="G83" s="57" t="s">
        <v>132</v>
      </c>
      <c r="H83" s="54">
        <v>0</v>
      </c>
      <c r="I83" s="56">
        <v>2257695</v>
      </c>
    </row>
    <row r="84" spans="1:9" ht="21" customHeight="1">
      <c r="A84" s="53" t="s">
        <v>107</v>
      </c>
      <c r="B84" s="57">
        <v>700</v>
      </c>
      <c r="C84" s="54">
        <v>0</v>
      </c>
      <c r="D84" s="56">
        <v>6972123.06</v>
      </c>
      <c r="F84" s="53" t="s">
        <v>107</v>
      </c>
      <c r="G84" s="57">
        <v>700</v>
      </c>
      <c r="H84" s="54">
        <v>0</v>
      </c>
      <c r="I84" s="56">
        <v>6972123.06</v>
      </c>
    </row>
    <row r="85" spans="1:9" ht="21" customHeight="1">
      <c r="A85" s="53" t="s">
        <v>109</v>
      </c>
      <c r="B85" s="57"/>
      <c r="C85" s="54">
        <v>0</v>
      </c>
      <c r="D85" s="56">
        <v>17000</v>
      </c>
      <c r="F85" s="53" t="s">
        <v>109</v>
      </c>
      <c r="G85" s="57"/>
      <c r="H85" s="54">
        <v>0</v>
      </c>
      <c r="I85" s="56">
        <v>17000</v>
      </c>
    </row>
    <row r="86" spans="1:9" ht="21" customHeight="1">
      <c r="A86" s="53" t="s">
        <v>133</v>
      </c>
      <c r="B86" s="57" t="s">
        <v>132</v>
      </c>
      <c r="C86" s="54">
        <v>0</v>
      </c>
      <c r="D86" s="56">
        <v>0</v>
      </c>
      <c r="F86" s="53" t="s">
        <v>133</v>
      </c>
      <c r="G86" s="57" t="s">
        <v>132</v>
      </c>
      <c r="H86" s="54">
        <v>0</v>
      </c>
      <c r="I86" s="56">
        <v>0</v>
      </c>
    </row>
    <row r="87" spans="1:9" ht="21" customHeight="1">
      <c r="A87" s="53" t="s">
        <v>108</v>
      </c>
      <c r="B87" s="57"/>
      <c r="C87" s="55"/>
      <c r="D87" s="56">
        <v>10493592.02</v>
      </c>
      <c r="F87" s="53" t="s">
        <v>108</v>
      </c>
      <c r="G87" s="57"/>
      <c r="H87" s="55"/>
      <c r="I87" s="56">
        <v>10493592.02</v>
      </c>
    </row>
    <row r="88" spans="1:9" ht="21" customHeight="1">
      <c r="A88" s="53"/>
      <c r="B88" s="57"/>
      <c r="C88" s="55"/>
      <c r="D88" s="56"/>
      <c r="F88" s="53"/>
      <c r="G88" s="57"/>
      <c r="H88" s="55"/>
      <c r="I88" s="56"/>
    </row>
    <row r="89" spans="1:9" ht="21" customHeight="1">
      <c r="A89" s="59"/>
      <c r="B89" s="59"/>
      <c r="C89" s="55">
        <f>SUM(C50:C87)</f>
        <v>79706147.26</v>
      </c>
      <c r="D89" s="56">
        <f>SUM(D50:D87)</f>
        <v>79706147.25999999</v>
      </c>
      <c r="F89" s="59"/>
      <c r="G89" s="59"/>
      <c r="H89" s="55">
        <f>SUM(H50:H87)</f>
        <v>79706147.26</v>
      </c>
      <c r="I89" s="56">
        <f>SUM(I50:I87)</f>
        <v>79706147.25999999</v>
      </c>
    </row>
    <row r="90" spans="1:9" ht="21" customHeight="1">
      <c r="A90" s="750" t="s">
        <v>30</v>
      </c>
      <c r="B90" s="750"/>
      <c r="C90" s="750"/>
      <c r="D90" s="750"/>
      <c r="F90" s="750" t="s">
        <v>30</v>
      </c>
      <c r="G90" s="750"/>
      <c r="H90" s="750"/>
      <c r="I90" s="750"/>
    </row>
    <row r="91" spans="1:9" ht="21" customHeight="1">
      <c r="A91" s="750" t="s">
        <v>134</v>
      </c>
      <c r="B91" s="750"/>
      <c r="C91" s="750"/>
      <c r="D91" s="750"/>
      <c r="F91" s="750" t="s">
        <v>134</v>
      </c>
      <c r="G91" s="750"/>
      <c r="H91" s="750"/>
      <c r="I91" s="750"/>
    </row>
    <row r="92" spans="1:9" ht="21" customHeight="1">
      <c r="A92" s="750" t="s">
        <v>135</v>
      </c>
      <c r="B92" s="750"/>
      <c r="C92" s="750"/>
      <c r="D92" s="750"/>
      <c r="F92" s="750" t="s">
        <v>135</v>
      </c>
      <c r="G92" s="750"/>
      <c r="H92" s="750"/>
      <c r="I92" s="750"/>
    </row>
    <row r="93" spans="1:9" ht="21" customHeight="1">
      <c r="A93" s="51" t="s">
        <v>32</v>
      </c>
      <c r="B93" s="51" t="s">
        <v>83</v>
      </c>
      <c r="C93" s="52" t="s">
        <v>84</v>
      </c>
      <c r="D93" s="52" t="s">
        <v>85</v>
      </c>
      <c r="F93" s="51" t="s">
        <v>32</v>
      </c>
      <c r="G93" s="51" t="s">
        <v>83</v>
      </c>
      <c r="H93" s="52" t="s">
        <v>84</v>
      </c>
      <c r="I93" s="52" t="s">
        <v>85</v>
      </c>
    </row>
    <row r="94" spans="1:9" ht="21" customHeight="1">
      <c r="A94" s="53" t="s">
        <v>86</v>
      </c>
      <c r="B94" s="54" t="s">
        <v>87</v>
      </c>
      <c r="C94" s="55">
        <v>0</v>
      </c>
      <c r="D94" s="56">
        <v>0</v>
      </c>
      <c r="F94" s="53" t="s">
        <v>86</v>
      </c>
      <c r="G94" s="54" t="s">
        <v>87</v>
      </c>
      <c r="H94" s="55">
        <v>0</v>
      </c>
      <c r="I94" s="56">
        <v>0</v>
      </c>
    </row>
    <row r="95" spans="1:9" ht="21" customHeight="1">
      <c r="A95" s="53" t="s">
        <v>88</v>
      </c>
      <c r="B95" s="54" t="s">
        <v>89</v>
      </c>
      <c r="C95" s="55">
        <v>238.18</v>
      </c>
      <c r="D95" s="56">
        <v>0</v>
      </c>
      <c r="F95" s="53" t="s">
        <v>88</v>
      </c>
      <c r="G95" s="54" t="s">
        <v>89</v>
      </c>
      <c r="H95" s="55">
        <v>238.18</v>
      </c>
      <c r="I95" s="56">
        <v>0</v>
      </c>
    </row>
    <row r="96" spans="1:9" ht="21" customHeight="1">
      <c r="A96" s="53" t="s">
        <v>90</v>
      </c>
      <c r="B96" s="54" t="s">
        <v>89</v>
      </c>
      <c r="C96" s="55">
        <v>4691000</v>
      </c>
      <c r="D96" s="56">
        <v>0</v>
      </c>
      <c r="F96" s="53" t="s">
        <v>90</v>
      </c>
      <c r="G96" s="54" t="s">
        <v>89</v>
      </c>
      <c r="H96" s="55">
        <v>4691000</v>
      </c>
      <c r="I96" s="56">
        <v>0</v>
      </c>
    </row>
    <row r="97" spans="1:9" ht="21" customHeight="1">
      <c r="A97" s="53" t="s">
        <v>91</v>
      </c>
      <c r="B97" s="54" t="s">
        <v>89</v>
      </c>
      <c r="C97" s="54">
        <v>1886851.69</v>
      </c>
      <c r="D97" s="56">
        <v>0</v>
      </c>
      <c r="F97" s="53" t="s">
        <v>91</v>
      </c>
      <c r="G97" s="54" t="s">
        <v>89</v>
      </c>
      <c r="H97" s="54">
        <v>1886851.69</v>
      </c>
      <c r="I97" s="56">
        <v>0</v>
      </c>
    </row>
    <row r="98" spans="1:9" ht="21" customHeight="1">
      <c r="A98" s="53" t="s">
        <v>92</v>
      </c>
      <c r="B98" s="54" t="s">
        <v>89</v>
      </c>
      <c r="C98" s="54">
        <v>0</v>
      </c>
      <c r="D98" s="56">
        <v>0</v>
      </c>
      <c r="F98" s="53" t="s">
        <v>92</v>
      </c>
      <c r="G98" s="54" t="s">
        <v>89</v>
      </c>
      <c r="H98" s="54">
        <v>0</v>
      </c>
      <c r="I98" s="56">
        <v>0</v>
      </c>
    </row>
    <row r="99" spans="1:9" ht="21" customHeight="1">
      <c r="A99" s="53" t="s">
        <v>93</v>
      </c>
      <c r="B99" s="54" t="s">
        <v>89</v>
      </c>
      <c r="C99" s="55">
        <v>12700604.25</v>
      </c>
      <c r="D99" s="56">
        <v>0</v>
      </c>
      <c r="F99" s="53" t="s">
        <v>93</v>
      </c>
      <c r="G99" s="54" t="s">
        <v>89</v>
      </c>
      <c r="H99" s="55">
        <v>12700604.25</v>
      </c>
      <c r="I99" s="56">
        <v>0</v>
      </c>
    </row>
    <row r="100" spans="1:9" ht="21" customHeight="1">
      <c r="A100" s="53" t="s">
        <v>94</v>
      </c>
      <c r="B100" s="54" t="s">
        <v>89</v>
      </c>
      <c r="C100" s="55">
        <v>626968.66</v>
      </c>
      <c r="D100" s="56">
        <v>0</v>
      </c>
      <c r="F100" s="53" t="s">
        <v>94</v>
      </c>
      <c r="G100" s="54" t="s">
        <v>89</v>
      </c>
      <c r="H100" s="55">
        <v>626968.66</v>
      </c>
      <c r="I100" s="56">
        <v>0</v>
      </c>
    </row>
    <row r="101" spans="1:9" ht="21" customHeight="1">
      <c r="A101" s="53" t="s">
        <v>95</v>
      </c>
      <c r="B101" s="54" t="s">
        <v>89</v>
      </c>
      <c r="C101" s="55">
        <v>11939885.34</v>
      </c>
      <c r="D101" s="56">
        <v>0</v>
      </c>
      <c r="F101" s="53" t="s">
        <v>95</v>
      </c>
      <c r="G101" s="54" t="s">
        <v>89</v>
      </c>
      <c r="H101" s="55">
        <v>11939885.34</v>
      </c>
      <c r="I101" s="56">
        <v>0</v>
      </c>
    </row>
    <row r="102" spans="1:9" ht="21" customHeight="1">
      <c r="A102" s="53" t="s">
        <v>96</v>
      </c>
      <c r="B102" s="57">
        <v>701</v>
      </c>
      <c r="C102" s="55">
        <v>1681293.82</v>
      </c>
      <c r="D102" s="56">
        <v>0</v>
      </c>
      <c r="F102" s="53" t="s">
        <v>96</v>
      </c>
      <c r="G102" s="57">
        <v>701</v>
      </c>
      <c r="H102" s="55">
        <v>1681293.82</v>
      </c>
      <c r="I102" s="56">
        <v>0</v>
      </c>
    </row>
    <row r="103" spans="1:9" ht="21" customHeight="1">
      <c r="A103" s="53" t="s">
        <v>97</v>
      </c>
      <c r="B103" s="57" t="s">
        <v>98</v>
      </c>
      <c r="C103" s="55">
        <v>30140.65</v>
      </c>
      <c r="D103" s="56"/>
      <c r="F103" s="53" t="s">
        <v>97</v>
      </c>
      <c r="G103" s="57" t="s">
        <v>98</v>
      </c>
      <c r="H103" s="55">
        <v>30140.65</v>
      </c>
      <c r="I103" s="56"/>
    </row>
    <row r="104" spans="1:9" ht="21" customHeight="1">
      <c r="A104" s="53" t="s">
        <v>99</v>
      </c>
      <c r="B104" s="54"/>
      <c r="C104" s="55">
        <v>107450</v>
      </c>
      <c r="D104" s="56">
        <v>0</v>
      </c>
      <c r="F104" s="53" t="s">
        <v>99</v>
      </c>
      <c r="G104" s="54"/>
      <c r="H104" s="55">
        <v>107450</v>
      </c>
      <c r="I104" s="56">
        <v>0</v>
      </c>
    </row>
    <row r="105" spans="1:9" ht="21" customHeight="1">
      <c r="A105" s="53" t="s">
        <v>100</v>
      </c>
      <c r="B105" s="54" t="s">
        <v>101</v>
      </c>
      <c r="C105" s="54">
        <v>1440</v>
      </c>
      <c r="D105" s="56">
        <v>0</v>
      </c>
      <c r="F105" s="53" t="s">
        <v>100</v>
      </c>
      <c r="G105" s="54" t="s">
        <v>101</v>
      </c>
      <c r="H105" s="54">
        <v>1440</v>
      </c>
      <c r="I105" s="56">
        <v>0</v>
      </c>
    </row>
    <row r="106" spans="1:9" ht="21" customHeight="1">
      <c r="A106" s="53" t="s">
        <v>73</v>
      </c>
      <c r="B106" s="57">
        <v>100</v>
      </c>
      <c r="C106" s="54"/>
      <c r="D106" s="56"/>
      <c r="F106" s="53" t="s">
        <v>73</v>
      </c>
      <c r="G106" s="57">
        <v>100</v>
      </c>
      <c r="H106" s="54"/>
      <c r="I106" s="56"/>
    </row>
    <row r="107" spans="1:9" ht="21" customHeight="1">
      <c r="A107" s="53" t="s">
        <v>46</v>
      </c>
      <c r="B107" s="57">
        <v>120</v>
      </c>
      <c r="C107" s="55"/>
      <c r="D107" s="56"/>
      <c r="F107" s="53" t="s">
        <v>46</v>
      </c>
      <c r="G107" s="57">
        <v>120</v>
      </c>
      <c r="H107" s="55"/>
      <c r="I107" s="56"/>
    </row>
    <row r="108" spans="1:9" ht="21" customHeight="1">
      <c r="A108" s="53" t="s">
        <v>74</v>
      </c>
      <c r="B108" s="57">
        <v>130</v>
      </c>
      <c r="C108" s="55"/>
      <c r="D108" s="56"/>
      <c r="F108" s="53" t="s">
        <v>74</v>
      </c>
      <c r="G108" s="57">
        <v>130</v>
      </c>
      <c r="H108" s="55"/>
      <c r="I108" s="56"/>
    </row>
    <row r="109" spans="1:9" ht="21" customHeight="1">
      <c r="A109" s="53" t="s">
        <v>75</v>
      </c>
      <c r="B109" s="57">
        <v>200</v>
      </c>
      <c r="C109" s="55"/>
      <c r="D109" s="56"/>
      <c r="F109" s="53" t="s">
        <v>75</v>
      </c>
      <c r="G109" s="57">
        <v>200</v>
      </c>
      <c r="H109" s="55"/>
      <c r="I109" s="56"/>
    </row>
    <row r="110" spans="1:9" ht="21" customHeight="1">
      <c r="A110" s="53" t="s">
        <v>76</v>
      </c>
      <c r="B110" s="57">
        <v>250</v>
      </c>
      <c r="C110" s="55"/>
      <c r="D110" s="56"/>
      <c r="F110" s="53" t="s">
        <v>76</v>
      </c>
      <c r="G110" s="57">
        <v>250</v>
      </c>
      <c r="H110" s="55"/>
      <c r="I110" s="56"/>
    </row>
    <row r="111" spans="1:9" ht="21" customHeight="1">
      <c r="A111" s="53" t="s">
        <v>77</v>
      </c>
      <c r="B111" s="57">
        <v>270</v>
      </c>
      <c r="C111" s="55"/>
      <c r="D111" s="56"/>
      <c r="F111" s="53" t="s">
        <v>77</v>
      </c>
      <c r="G111" s="57">
        <v>270</v>
      </c>
      <c r="H111" s="55"/>
      <c r="I111" s="56"/>
    </row>
    <row r="112" spans="1:9" ht="21" customHeight="1">
      <c r="A112" s="53" t="s">
        <v>51</v>
      </c>
      <c r="B112" s="57">
        <v>300</v>
      </c>
      <c r="C112" s="55"/>
      <c r="D112" s="56"/>
      <c r="F112" s="53" t="s">
        <v>51</v>
      </c>
      <c r="G112" s="57">
        <v>300</v>
      </c>
      <c r="H112" s="55"/>
      <c r="I112" s="56"/>
    </row>
    <row r="113" spans="1:9" ht="21" customHeight="1">
      <c r="A113" s="53" t="s">
        <v>54</v>
      </c>
      <c r="B113" s="57">
        <v>450</v>
      </c>
      <c r="C113" s="55"/>
      <c r="D113" s="56"/>
      <c r="F113" s="53" t="s">
        <v>54</v>
      </c>
      <c r="G113" s="57">
        <v>450</v>
      </c>
      <c r="H113" s="55"/>
      <c r="I113" s="56"/>
    </row>
    <row r="114" spans="1:9" ht="21" customHeight="1">
      <c r="A114" s="53" t="s">
        <v>55</v>
      </c>
      <c r="B114" s="57">
        <v>500</v>
      </c>
      <c r="C114" s="55"/>
      <c r="D114" s="56"/>
      <c r="F114" s="53" t="s">
        <v>55</v>
      </c>
      <c r="G114" s="57">
        <v>500</v>
      </c>
      <c r="H114" s="55"/>
      <c r="I114" s="56"/>
    </row>
    <row r="115" spans="1:9" ht="21" customHeight="1">
      <c r="A115" s="53" t="s">
        <v>2</v>
      </c>
      <c r="B115" s="58" t="s">
        <v>102</v>
      </c>
      <c r="C115" s="55"/>
      <c r="D115" s="56"/>
      <c r="F115" s="53" t="s">
        <v>2</v>
      </c>
      <c r="G115" s="58" t="s">
        <v>102</v>
      </c>
      <c r="H115" s="55"/>
      <c r="I115" s="56"/>
    </row>
    <row r="116" spans="1:9" ht="21" customHeight="1">
      <c r="A116" s="53" t="s">
        <v>52</v>
      </c>
      <c r="B116" s="57">
        <v>400</v>
      </c>
      <c r="C116" s="55"/>
      <c r="D116" s="56"/>
      <c r="F116" s="53" t="s">
        <v>52</v>
      </c>
      <c r="G116" s="57">
        <v>400</v>
      </c>
      <c r="H116" s="55"/>
      <c r="I116" s="56"/>
    </row>
    <row r="117" spans="1:9" ht="21" customHeight="1">
      <c r="A117" s="53" t="s">
        <v>103</v>
      </c>
      <c r="B117" s="57">
        <v>821</v>
      </c>
      <c r="C117" s="55"/>
      <c r="D117" s="56"/>
      <c r="F117" s="53" t="s">
        <v>103</v>
      </c>
      <c r="G117" s="57">
        <v>821</v>
      </c>
      <c r="H117" s="55"/>
      <c r="I117" s="56"/>
    </row>
    <row r="118" spans="1:9" ht="21" customHeight="1">
      <c r="A118" s="53" t="s">
        <v>104</v>
      </c>
      <c r="B118" s="57">
        <v>900</v>
      </c>
      <c r="C118" s="55"/>
      <c r="D118" s="56">
        <v>1205635.4</v>
      </c>
      <c r="F118" s="53" t="s">
        <v>104</v>
      </c>
      <c r="G118" s="57">
        <v>900</v>
      </c>
      <c r="H118" s="55"/>
      <c r="I118" s="56">
        <v>1205635.4</v>
      </c>
    </row>
    <row r="119" spans="1:9" ht="21" customHeight="1">
      <c r="A119" s="53" t="s">
        <v>105</v>
      </c>
      <c r="B119" s="57"/>
      <c r="C119" s="54"/>
      <c r="D119" s="56">
        <v>259300</v>
      </c>
      <c r="F119" s="53" t="s">
        <v>105</v>
      </c>
      <c r="G119" s="57"/>
      <c r="H119" s="54"/>
      <c r="I119" s="56">
        <v>259300</v>
      </c>
    </row>
    <row r="120" spans="1:9" ht="21" customHeight="1">
      <c r="A120" s="53" t="s">
        <v>106</v>
      </c>
      <c r="B120" s="57">
        <v>600</v>
      </c>
      <c r="C120" s="54"/>
      <c r="D120" s="56">
        <v>354400</v>
      </c>
      <c r="F120" s="53" t="s">
        <v>106</v>
      </c>
      <c r="G120" s="57">
        <v>600</v>
      </c>
      <c r="H120" s="54"/>
      <c r="I120" s="56">
        <v>354400</v>
      </c>
    </row>
    <row r="121" spans="1:9" ht="21" customHeight="1">
      <c r="A121" s="53" t="s">
        <v>107</v>
      </c>
      <c r="B121" s="57">
        <v>700</v>
      </c>
      <c r="C121" s="54"/>
      <c r="D121" s="56">
        <v>16064472.94</v>
      </c>
      <c r="F121" s="53" t="s">
        <v>107</v>
      </c>
      <c r="G121" s="57">
        <v>700</v>
      </c>
      <c r="H121" s="54"/>
      <c r="I121" s="56">
        <v>16064472.94</v>
      </c>
    </row>
    <row r="122" spans="1:9" ht="21" customHeight="1">
      <c r="A122" s="53" t="s">
        <v>108</v>
      </c>
      <c r="B122" s="57"/>
      <c r="C122" s="54"/>
      <c r="D122" s="56">
        <v>15305505.59</v>
      </c>
      <c r="F122" s="53" t="s">
        <v>108</v>
      </c>
      <c r="G122" s="57"/>
      <c r="H122" s="54"/>
      <c r="I122" s="56">
        <v>15305505.59</v>
      </c>
    </row>
    <row r="123" spans="1:9" ht="21" customHeight="1">
      <c r="A123" s="53" t="s">
        <v>109</v>
      </c>
      <c r="B123" s="57">
        <v>700</v>
      </c>
      <c r="C123" s="54"/>
      <c r="D123" s="56">
        <v>1440</v>
      </c>
      <c r="F123" s="53" t="s">
        <v>109</v>
      </c>
      <c r="G123" s="57">
        <v>700</v>
      </c>
      <c r="H123" s="54"/>
      <c r="I123" s="56">
        <v>1440</v>
      </c>
    </row>
    <row r="124" spans="1:9" ht="21" customHeight="1">
      <c r="A124" s="53" t="s">
        <v>110</v>
      </c>
      <c r="B124" s="57"/>
      <c r="C124" s="54"/>
      <c r="D124" s="56">
        <v>734418.66</v>
      </c>
      <c r="F124" s="53" t="s">
        <v>110</v>
      </c>
      <c r="G124" s="57"/>
      <c r="H124" s="54"/>
      <c r="I124" s="56">
        <v>734418.66</v>
      </c>
    </row>
    <row r="125" spans="1:9" ht="21" customHeight="1">
      <c r="A125" s="53" t="s">
        <v>111</v>
      </c>
      <c r="B125" s="57"/>
      <c r="C125" s="54">
        <v>259300</v>
      </c>
      <c r="D125" s="56"/>
      <c r="F125" s="53" t="s">
        <v>111</v>
      </c>
      <c r="G125" s="57"/>
      <c r="H125" s="54">
        <v>259300</v>
      </c>
      <c r="I125" s="56"/>
    </row>
    <row r="126" spans="1:9" ht="21" customHeight="1">
      <c r="A126" s="53"/>
      <c r="B126" s="57"/>
      <c r="C126" s="54">
        <v>0</v>
      </c>
      <c r="D126" s="56">
        <v>0</v>
      </c>
      <c r="F126" s="53"/>
      <c r="G126" s="57"/>
      <c r="H126" s="54">
        <v>0</v>
      </c>
      <c r="I126" s="56">
        <v>0</v>
      </c>
    </row>
    <row r="127" spans="1:9" ht="21" customHeight="1">
      <c r="A127" s="53"/>
      <c r="B127" s="57"/>
      <c r="C127" s="54"/>
      <c r="D127" s="56"/>
      <c r="F127" s="53"/>
      <c r="G127" s="57"/>
      <c r="H127" s="54"/>
      <c r="I127" s="56"/>
    </row>
    <row r="128" spans="1:9" ht="21" customHeight="1">
      <c r="A128" s="53"/>
      <c r="B128" s="57"/>
      <c r="C128" s="54"/>
      <c r="D128" s="56"/>
      <c r="F128" s="53"/>
      <c r="G128" s="57"/>
      <c r="H128" s="54"/>
      <c r="I128" s="56"/>
    </row>
    <row r="129" spans="1:9" ht="21" customHeight="1">
      <c r="A129" s="53"/>
      <c r="B129" s="57"/>
      <c r="C129" s="54"/>
      <c r="D129" s="56"/>
      <c r="F129" s="53"/>
      <c r="G129" s="57"/>
      <c r="H129" s="54"/>
      <c r="I129" s="56"/>
    </row>
    <row r="130" spans="1:9" ht="21" customHeight="1">
      <c r="A130" s="53"/>
      <c r="B130" s="57"/>
      <c r="C130" s="54"/>
      <c r="D130" s="56"/>
      <c r="F130" s="53"/>
      <c r="G130" s="57"/>
      <c r="H130" s="54"/>
      <c r="I130" s="56"/>
    </row>
    <row r="131" spans="1:9" ht="21" customHeight="1">
      <c r="A131" s="53"/>
      <c r="B131" s="57"/>
      <c r="C131" s="55"/>
      <c r="D131" s="56"/>
      <c r="F131" s="53"/>
      <c r="G131" s="57"/>
      <c r="H131" s="55"/>
      <c r="I131" s="56"/>
    </row>
    <row r="132" spans="1:9" ht="21" customHeight="1">
      <c r="A132" s="59"/>
      <c r="B132" s="59"/>
      <c r="C132" s="55">
        <f>SUM(C94:C131)</f>
        <v>33925172.589999996</v>
      </c>
      <c r="D132" s="56">
        <f>SUM(D94:D131)</f>
        <v>33925172.589999996</v>
      </c>
      <c r="F132" s="59"/>
      <c r="G132" s="59"/>
      <c r="H132" s="55">
        <f>SUM(H94:H131)</f>
        <v>33925172.589999996</v>
      </c>
      <c r="I132" s="56">
        <f>SUM(I94:I131)</f>
        <v>33925172.589999996</v>
      </c>
    </row>
    <row r="133" spans="3:9" ht="21" customHeight="1">
      <c r="C133" s="60"/>
      <c r="D133" s="61"/>
      <c r="H133" s="60"/>
      <c r="I133" s="61"/>
    </row>
    <row r="134" spans="1:9" ht="21" customHeight="1">
      <c r="A134" s="750" t="s">
        <v>71</v>
      </c>
      <c r="B134" s="750"/>
      <c r="C134" s="750"/>
      <c r="D134" s="750"/>
      <c r="F134" s="750" t="s">
        <v>71</v>
      </c>
      <c r="G134" s="750"/>
      <c r="H134" s="750"/>
      <c r="I134" s="750"/>
    </row>
    <row r="135" spans="1:9" ht="21" customHeight="1">
      <c r="A135" s="750" t="s">
        <v>134</v>
      </c>
      <c r="B135" s="750"/>
      <c r="C135" s="750"/>
      <c r="D135" s="750"/>
      <c r="F135" s="750" t="s">
        <v>134</v>
      </c>
      <c r="G135" s="750"/>
      <c r="H135" s="750"/>
      <c r="I135" s="750"/>
    </row>
    <row r="136" spans="1:9" ht="21" customHeight="1">
      <c r="A136" s="750" t="s">
        <v>136</v>
      </c>
      <c r="B136" s="750"/>
      <c r="C136" s="750"/>
      <c r="D136" s="750"/>
      <c r="F136" s="750" t="s">
        <v>136</v>
      </c>
      <c r="G136" s="750"/>
      <c r="H136" s="750"/>
      <c r="I136" s="750"/>
    </row>
    <row r="137" spans="1:9" ht="21" customHeight="1">
      <c r="A137" s="51" t="s">
        <v>32</v>
      </c>
      <c r="B137" s="51" t="s">
        <v>83</v>
      </c>
      <c r="C137" s="52" t="s">
        <v>84</v>
      </c>
      <c r="D137" s="52" t="s">
        <v>85</v>
      </c>
      <c r="F137" s="51" t="s">
        <v>32</v>
      </c>
      <c r="G137" s="51" t="s">
        <v>83</v>
      </c>
      <c r="H137" s="52" t="s">
        <v>84</v>
      </c>
      <c r="I137" s="52" t="s">
        <v>85</v>
      </c>
    </row>
    <row r="138" spans="1:9" ht="21" customHeight="1">
      <c r="A138" s="53" t="s">
        <v>86</v>
      </c>
      <c r="B138" s="54" t="s">
        <v>87</v>
      </c>
      <c r="C138" s="55">
        <v>0</v>
      </c>
      <c r="D138" s="56">
        <v>0</v>
      </c>
      <c r="F138" s="53" t="s">
        <v>86</v>
      </c>
      <c r="G138" s="54" t="s">
        <v>87</v>
      </c>
      <c r="H138" s="55">
        <v>0</v>
      </c>
      <c r="I138" s="56">
        <v>0</v>
      </c>
    </row>
    <row r="139" spans="1:9" ht="21" customHeight="1">
      <c r="A139" s="53" t="s">
        <v>114</v>
      </c>
      <c r="B139" s="54" t="s">
        <v>89</v>
      </c>
      <c r="C139" s="55">
        <v>99311.15</v>
      </c>
      <c r="D139" s="56">
        <v>0</v>
      </c>
      <c r="F139" s="53" t="s">
        <v>114</v>
      </c>
      <c r="G139" s="54" t="s">
        <v>89</v>
      </c>
      <c r="H139" s="55">
        <v>99311.15</v>
      </c>
      <c r="I139" s="56">
        <v>0</v>
      </c>
    </row>
    <row r="140" spans="1:9" ht="21" customHeight="1">
      <c r="A140" s="53" t="s">
        <v>115</v>
      </c>
      <c r="B140" s="54" t="s">
        <v>89</v>
      </c>
      <c r="C140" s="55">
        <v>1258665</v>
      </c>
      <c r="D140" s="56">
        <v>0</v>
      </c>
      <c r="F140" s="53" t="s">
        <v>115</v>
      </c>
      <c r="G140" s="54" t="s">
        <v>89</v>
      </c>
      <c r="H140" s="55">
        <v>1258665</v>
      </c>
      <c r="I140" s="56">
        <v>0</v>
      </c>
    </row>
    <row r="141" spans="1:9" ht="21" customHeight="1">
      <c r="A141" s="53" t="s">
        <v>137</v>
      </c>
      <c r="B141" s="54" t="s">
        <v>89</v>
      </c>
      <c r="C141" s="54">
        <v>245199.32</v>
      </c>
      <c r="D141" s="56">
        <v>0</v>
      </c>
      <c r="F141" s="53" t="s">
        <v>137</v>
      </c>
      <c r="G141" s="54" t="s">
        <v>89</v>
      </c>
      <c r="H141" s="54">
        <v>245199.32</v>
      </c>
      <c r="I141" s="56">
        <v>0</v>
      </c>
    </row>
    <row r="142" spans="1:9" ht="21" customHeight="1">
      <c r="A142" s="53" t="s">
        <v>138</v>
      </c>
      <c r="B142" s="54" t="s">
        <v>89</v>
      </c>
      <c r="C142" s="54">
        <v>1132001.01</v>
      </c>
      <c r="D142" s="56">
        <v>0</v>
      </c>
      <c r="F142" s="53" t="s">
        <v>138</v>
      </c>
      <c r="G142" s="54" t="s">
        <v>89</v>
      </c>
      <c r="H142" s="54">
        <v>1132001.01</v>
      </c>
      <c r="I142" s="56">
        <v>0</v>
      </c>
    </row>
    <row r="143" spans="1:9" ht="21" customHeight="1">
      <c r="A143" s="53" t="s">
        <v>118</v>
      </c>
      <c r="B143" s="54" t="s">
        <v>89</v>
      </c>
      <c r="C143" s="55">
        <v>11208482.22</v>
      </c>
      <c r="D143" s="56">
        <v>0</v>
      </c>
      <c r="F143" s="53" t="s">
        <v>118</v>
      </c>
      <c r="G143" s="54" t="s">
        <v>89</v>
      </c>
      <c r="H143" s="55">
        <v>11208482.22</v>
      </c>
      <c r="I143" s="56">
        <v>0</v>
      </c>
    </row>
    <row r="144" spans="1:9" ht="21" customHeight="1">
      <c r="A144" s="53" t="s">
        <v>119</v>
      </c>
      <c r="B144" s="54" t="s">
        <v>89</v>
      </c>
      <c r="C144" s="55">
        <v>11234929.48</v>
      </c>
      <c r="D144" s="56">
        <v>0</v>
      </c>
      <c r="F144" s="53" t="s">
        <v>119</v>
      </c>
      <c r="G144" s="54" t="s">
        <v>89</v>
      </c>
      <c r="H144" s="55">
        <v>11234929.48</v>
      </c>
      <c r="I144" s="56">
        <v>0</v>
      </c>
    </row>
    <row r="145" spans="1:9" ht="21" customHeight="1">
      <c r="A145" s="53" t="s">
        <v>120</v>
      </c>
      <c r="B145" s="54" t="s">
        <v>89</v>
      </c>
      <c r="C145" s="55">
        <v>99130.7</v>
      </c>
      <c r="D145" s="56">
        <v>0</v>
      </c>
      <c r="F145" s="53" t="s">
        <v>120</v>
      </c>
      <c r="G145" s="54" t="s">
        <v>89</v>
      </c>
      <c r="H145" s="55">
        <v>99130.7</v>
      </c>
      <c r="I145" s="56">
        <v>0</v>
      </c>
    </row>
    <row r="146" spans="1:9" ht="21" customHeight="1">
      <c r="A146" s="53" t="s">
        <v>121</v>
      </c>
      <c r="B146" s="54" t="s">
        <v>89</v>
      </c>
      <c r="C146" s="55">
        <v>114959.37</v>
      </c>
      <c r="D146" s="56">
        <v>0</v>
      </c>
      <c r="F146" s="53" t="s">
        <v>121</v>
      </c>
      <c r="G146" s="54" t="s">
        <v>89</v>
      </c>
      <c r="H146" s="55">
        <v>114959.37</v>
      </c>
      <c r="I146" s="56">
        <v>0</v>
      </c>
    </row>
    <row r="147" spans="1:9" ht="21" customHeight="1">
      <c r="A147" s="53" t="s">
        <v>96</v>
      </c>
      <c r="B147" s="57">
        <v>701</v>
      </c>
      <c r="C147" s="55">
        <v>6405630.62</v>
      </c>
      <c r="D147" s="56"/>
      <c r="F147" s="53" t="s">
        <v>96</v>
      </c>
      <c r="G147" s="57">
        <v>701</v>
      </c>
      <c r="H147" s="55">
        <v>6405630.62</v>
      </c>
      <c r="I147" s="56"/>
    </row>
    <row r="148" spans="1:9" ht="21" customHeight="1">
      <c r="A148" s="53" t="s">
        <v>122</v>
      </c>
      <c r="B148" s="54"/>
      <c r="C148" s="55">
        <v>18475</v>
      </c>
      <c r="D148" s="56">
        <v>0</v>
      </c>
      <c r="F148" s="53" t="s">
        <v>122</v>
      </c>
      <c r="G148" s="54"/>
      <c r="H148" s="55">
        <v>18475</v>
      </c>
      <c r="I148" s="56">
        <v>0</v>
      </c>
    </row>
    <row r="149" spans="1:9" ht="21" customHeight="1">
      <c r="A149" s="53" t="s">
        <v>123</v>
      </c>
      <c r="B149" s="54" t="s">
        <v>124</v>
      </c>
      <c r="C149" s="55">
        <v>5212</v>
      </c>
      <c r="D149" s="56">
        <v>0</v>
      </c>
      <c r="F149" s="53" t="s">
        <v>123</v>
      </c>
      <c r="G149" s="54" t="s">
        <v>124</v>
      </c>
      <c r="H149" s="55">
        <v>5212</v>
      </c>
      <c r="I149" s="56">
        <v>0</v>
      </c>
    </row>
    <row r="150" spans="1:9" ht="21" customHeight="1">
      <c r="A150" s="53" t="s">
        <v>125</v>
      </c>
      <c r="B150" s="54" t="s">
        <v>98</v>
      </c>
      <c r="C150" s="54">
        <v>0</v>
      </c>
      <c r="D150" s="56">
        <v>0</v>
      </c>
      <c r="F150" s="53" t="s">
        <v>125</v>
      </c>
      <c r="G150" s="54" t="s">
        <v>98</v>
      </c>
      <c r="H150" s="54">
        <v>0</v>
      </c>
      <c r="I150" s="56">
        <v>0</v>
      </c>
    </row>
    <row r="151" spans="1:9" ht="21" customHeight="1">
      <c r="A151" s="53" t="s">
        <v>100</v>
      </c>
      <c r="B151" s="54" t="s">
        <v>101</v>
      </c>
      <c r="C151" s="54">
        <v>0</v>
      </c>
      <c r="D151" s="56">
        <v>0</v>
      </c>
      <c r="F151" s="53" t="s">
        <v>100</v>
      </c>
      <c r="G151" s="54" t="s">
        <v>101</v>
      </c>
      <c r="H151" s="54">
        <v>0</v>
      </c>
      <c r="I151" s="56">
        <v>0</v>
      </c>
    </row>
    <row r="152" spans="1:9" ht="21" customHeight="1">
      <c r="A152" s="53" t="s">
        <v>73</v>
      </c>
      <c r="B152" s="57">
        <v>100</v>
      </c>
      <c r="C152" s="54">
        <v>0</v>
      </c>
      <c r="D152" s="56">
        <v>0</v>
      </c>
      <c r="F152" s="53" t="s">
        <v>73</v>
      </c>
      <c r="G152" s="57">
        <v>100</v>
      </c>
      <c r="H152" s="54">
        <v>0</v>
      </c>
      <c r="I152" s="56">
        <v>0</v>
      </c>
    </row>
    <row r="153" spans="1:9" ht="21" customHeight="1">
      <c r="A153" s="53" t="s">
        <v>46</v>
      </c>
      <c r="B153" s="57">
        <v>120</v>
      </c>
      <c r="C153" s="55">
        <v>0</v>
      </c>
      <c r="D153" s="56">
        <v>0</v>
      </c>
      <c r="F153" s="53" t="s">
        <v>46</v>
      </c>
      <c r="G153" s="57">
        <v>120</v>
      </c>
      <c r="H153" s="55">
        <v>0</v>
      </c>
      <c r="I153" s="56">
        <v>0</v>
      </c>
    </row>
    <row r="154" spans="1:9" ht="21" customHeight="1">
      <c r="A154" s="53" t="s">
        <v>74</v>
      </c>
      <c r="B154" s="57">
        <v>130</v>
      </c>
      <c r="C154" s="55">
        <v>0</v>
      </c>
      <c r="D154" s="56">
        <v>0</v>
      </c>
      <c r="F154" s="53" t="s">
        <v>74</v>
      </c>
      <c r="G154" s="57">
        <v>130</v>
      </c>
      <c r="H154" s="55">
        <v>0</v>
      </c>
      <c r="I154" s="56">
        <v>0</v>
      </c>
    </row>
    <row r="155" spans="1:9" ht="21" customHeight="1">
      <c r="A155" s="53" t="s">
        <v>75</v>
      </c>
      <c r="B155" s="57">
        <v>200</v>
      </c>
      <c r="C155" s="55">
        <v>0</v>
      </c>
      <c r="D155" s="56">
        <v>0</v>
      </c>
      <c r="F155" s="53" t="s">
        <v>75</v>
      </c>
      <c r="G155" s="57">
        <v>200</v>
      </c>
      <c r="H155" s="55">
        <v>0</v>
      </c>
      <c r="I155" s="56">
        <v>0</v>
      </c>
    </row>
    <row r="156" spans="1:9" ht="21" customHeight="1">
      <c r="A156" s="53" t="s">
        <v>76</v>
      </c>
      <c r="B156" s="57">
        <v>250</v>
      </c>
      <c r="C156" s="55">
        <v>0</v>
      </c>
      <c r="D156" s="56">
        <v>0</v>
      </c>
      <c r="F156" s="53" t="s">
        <v>76</v>
      </c>
      <c r="G156" s="57">
        <v>250</v>
      </c>
      <c r="H156" s="55">
        <v>0</v>
      </c>
      <c r="I156" s="56">
        <v>0</v>
      </c>
    </row>
    <row r="157" spans="1:9" ht="21" customHeight="1">
      <c r="A157" s="53" t="s">
        <v>77</v>
      </c>
      <c r="B157" s="57">
        <v>270</v>
      </c>
      <c r="C157" s="55">
        <v>0</v>
      </c>
      <c r="D157" s="56">
        <v>0</v>
      </c>
      <c r="F157" s="53" t="s">
        <v>77</v>
      </c>
      <c r="G157" s="57">
        <v>270</v>
      </c>
      <c r="H157" s="55">
        <v>0</v>
      </c>
      <c r="I157" s="56">
        <v>0</v>
      </c>
    </row>
    <row r="158" spans="1:9" ht="21" customHeight="1">
      <c r="A158" s="53" t="s">
        <v>51</v>
      </c>
      <c r="B158" s="57">
        <v>300</v>
      </c>
      <c r="C158" s="55">
        <v>0</v>
      </c>
      <c r="D158" s="56">
        <v>0</v>
      </c>
      <c r="F158" s="53" t="s">
        <v>51</v>
      </c>
      <c r="G158" s="57">
        <v>300</v>
      </c>
      <c r="H158" s="55">
        <v>0</v>
      </c>
      <c r="I158" s="56">
        <v>0</v>
      </c>
    </row>
    <row r="159" spans="1:9" ht="21" customHeight="1">
      <c r="A159" s="53" t="s">
        <v>54</v>
      </c>
      <c r="B159" s="57">
        <v>450</v>
      </c>
      <c r="C159" s="55">
        <v>0</v>
      </c>
      <c r="D159" s="56">
        <v>0</v>
      </c>
      <c r="F159" s="53" t="s">
        <v>54</v>
      </c>
      <c r="G159" s="57">
        <v>450</v>
      </c>
      <c r="H159" s="55">
        <v>0</v>
      </c>
      <c r="I159" s="56">
        <v>0</v>
      </c>
    </row>
    <row r="160" spans="1:9" ht="21" customHeight="1">
      <c r="A160" s="53" t="s">
        <v>55</v>
      </c>
      <c r="B160" s="57">
        <v>500</v>
      </c>
      <c r="C160" s="55">
        <v>0</v>
      </c>
      <c r="D160" s="56">
        <v>0</v>
      </c>
      <c r="F160" s="53" t="s">
        <v>55</v>
      </c>
      <c r="G160" s="57">
        <v>500</v>
      </c>
      <c r="H160" s="55">
        <v>0</v>
      </c>
      <c r="I160" s="56">
        <v>0</v>
      </c>
    </row>
    <row r="161" spans="1:9" ht="21" customHeight="1">
      <c r="A161" s="53" t="s">
        <v>2</v>
      </c>
      <c r="B161" s="58" t="s">
        <v>102</v>
      </c>
      <c r="C161" s="55">
        <v>0</v>
      </c>
      <c r="D161" s="56">
        <v>0</v>
      </c>
      <c r="F161" s="53" t="s">
        <v>2</v>
      </c>
      <c r="G161" s="58" t="s">
        <v>102</v>
      </c>
      <c r="H161" s="55">
        <v>0</v>
      </c>
      <c r="I161" s="56">
        <v>0</v>
      </c>
    </row>
    <row r="162" spans="1:9" ht="21" customHeight="1">
      <c r="A162" s="53" t="s">
        <v>52</v>
      </c>
      <c r="B162" s="57">
        <v>400</v>
      </c>
      <c r="C162" s="55">
        <v>0</v>
      </c>
      <c r="D162" s="56">
        <v>0</v>
      </c>
      <c r="F162" s="53" t="s">
        <v>52</v>
      </c>
      <c r="G162" s="57">
        <v>400</v>
      </c>
      <c r="H162" s="55">
        <v>0</v>
      </c>
      <c r="I162" s="56">
        <v>0</v>
      </c>
    </row>
    <row r="163" spans="1:9" ht="21" customHeight="1">
      <c r="A163" s="53" t="s">
        <v>78</v>
      </c>
      <c r="B163" s="57"/>
      <c r="C163" s="55">
        <v>0</v>
      </c>
      <c r="D163" s="56">
        <v>0</v>
      </c>
      <c r="F163" s="53" t="s">
        <v>78</v>
      </c>
      <c r="G163" s="57"/>
      <c r="H163" s="55">
        <v>0</v>
      </c>
      <c r="I163" s="56">
        <v>0</v>
      </c>
    </row>
    <row r="164" spans="1:9" ht="21" customHeight="1">
      <c r="A164" s="53" t="s">
        <v>103</v>
      </c>
      <c r="B164" s="57">
        <v>821</v>
      </c>
      <c r="C164" s="55">
        <v>0</v>
      </c>
      <c r="D164" s="56">
        <v>0</v>
      </c>
      <c r="F164" s="53" t="s">
        <v>103</v>
      </c>
      <c r="G164" s="57">
        <v>821</v>
      </c>
      <c r="H164" s="55">
        <v>0</v>
      </c>
      <c r="I164" s="56">
        <v>0</v>
      </c>
    </row>
    <row r="165" spans="1:9" ht="21" customHeight="1">
      <c r="A165" s="53" t="s">
        <v>104</v>
      </c>
      <c r="B165" s="57">
        <v>900</v>
      </c>
      <c r="C165" s="55">
        <v>0</v>
      </c>
      <c r="D165" s="56">
        <v>567742.95</v>
      </c>
      <c r="F165" s="53" t="s">
        <v>104</v>
      </c>
      <c r="G165" s="57">
        <v>900</v>
      </c>
      <c r="H165" s="55">
        <v>0</v>
      </c>
      <c r="I165" s="56">
        <v>567742.95</v>
      </c>
    </row>
    <row r="166" spans="1:9" ht="21" customHeight="1">
      <c r="A166" s="53" t="s">
        <v>139</v>
      </c>
      <c r="B166" s="57"/>
      <c r="C166" s="54"/>
      <c r="D166" s="56">
        <v>0</v>
      </c>
      <c r="F166" s="53" t="s">
        <v>139</v>
      </c>
      <c r="G166" s="57"/>
      <c r="H166" s="54"/>
      <c r="I166" s="56">
        <v>0</v>
      </c>
    </row>
    <row r="167" spans="1:9" ht="21" customHeight="1">
      <c r="A167" s="53" t="s">
        <v>106</v>
      </c>
      <c r="B167" s="57">
        <v>600</v>
      </c>
      <c r="C167" s="54">
        <v>0</v>
      </c>
      <c r="D167" s="56">
        <v>1643460.19</v>
      </c>
      <c r="F167" s="53" t="s">
        <v>106</v>
      </c>
      <c r="G167" s="57">
        <v>600</v>
      </c>
      <c r="H167" s="54">
        <v>0</v>
      </c>
      <c r="I167" s="56">
        <v>1643460.19</v>
      </c>
    </row>
    <row r="168" spans="1:9" ht="21" customHeight="1">
      <c r="A168" s="53" t="s">
        <v>127</v>
      </c>
      <c r="B168" s="57"/>
      <c r="C168" s="54">
        <v>17000</v>
      </c>
      <c r="D168" s="56">
        <v>0</v>
      </c>
      <c r="F168" s="53" t="s">
        <v>127</v>
      </c>
      <c r="G168" s="57"/>
      <c r="H168" s="54">
        <v>17000</v>
      </c>
      <c r="I168" s="56">
        <v>0</v>
      </c>
    </row>
    <row r="169" spans="1:9" ht="21" customHeight="1">
      <c r="A169" s="53" t="s">
        <v>129</v>
      </c>
      <c r="B169" s="57">
        <v>602</v>
      </c>
      <c r="C169" s="54">
        <v>17000</v>
      </c>
      <c r="D169" s="56">
        <v>0</v>
      </c>
      <c r="F169" s="53" t="s">
        <v>129</v>
      </c>
      <c r="G169" s="57">
        <v>602</v>
      </c>
      <c r="H169" s="54">
        <v>17000</v>
      </c>
      <c r="I169" s="56">
        <v>0</v>
      </c>
    </row>
    <row r="170" spans="1:9" ht="21" customHeight="1">
      <c r="A170" s="53" t="s">
        <v>107</v>
      </c>
      <c r="B170" s="57">
        <v>700</v>
      </c>
      <c r="C170" s="54">
        <v>0</v>
      </c>
      <c r="D170" s="56">
        <v>14425266.8</v>
      </c>
      <c r="F170" s="53" t="s">
        <v>107</v>
      </c>
      <c r="G170" s="57">
        <v>700</v>
      </c>
      <c r="H170" s="54">
        <v>0</v>
      </c>
      <c r="I170" s="56">
        <v>14425266.8</v>
      </c>
    </row>
    <row r="171" spans="1:9" ht="21" customHeight="1">
      <c r="A171" s="53" t="s">
        <v>109</v>
      </c>
      <c r="B171" s="57"/>
      <c r="C171" s="54">
        <v>0</v>
      </c>
      <c r="D171" s="56">
        <v>17000</v>
      </c>
      <c r="F171" s="53" t="s">
        <v>109</v>
      </c>
      <c r="G171" s="57"/>
      <c r="H171" s="54">
        <v>0</v>
      </c>
      <c r="I171" s="56">
        <v>17000</v>
      </c>
    </row>
    <row r="172" spans="1:9" ht="21" customHeight="1">
      <c r="A172" s="53" t="s">
        <v>108</v>
      </c>
      <c r="B172" s="57"/>
      <c r="C172" s="54">
        <v>0</v>
      </c>
      <c r="D172" s="56">
        <v>12944830.93</v>
      </c>
      <c r="F172" s="53" t="s">
        <v>108</v>
      </c>
      <c r="G172" s="57"/>
      <c r="H172" s="54">
        <v>0</v>
      </c>
      <c r="I172" s="56">
        <v>12944830.93</v>
      </c>
    </row>
    <row r="173" spans="1:9" ht="21" customHeight="1">
      <c r="A173" s="53" t="s">
        <v>140</v>
      </c>
      <c r="B173" s="57"/>
      <c r="C173" s="54"/>
      <c r="D173" s="56">
        <v>2257695</v>
      </c>
      <c r="F173" s="53" t="s">
        <v>140</v>
      </c>
      <c r="G173" s="57"/>
      <c r="H173" s="54"/>
      <c r="I173" s="56">
        <v>2257695</v>
      </c>
    </row>
    <row r="174" spans="1:9" ht="21" customHeight="1">
      <c r="A174" s="53"/>
      <c r="B174" s="57"/>
      <c r="C174" s="55"/>
      <c r="D174" s="56"/>
      <c r="F174" s="53"/>
      <c r="G174" s="57"/>
      <c r="H174" s="55"/>
      <c r="I174" s="56"/>
    </row>
    <row r="175" spans="1:9" ht="21" customHeight="1" thickBot="1">
      <c r="A175" s="59"/>
      <c r="B175" s="59"/>
      <c r="C175" s="62">
        <f>SUM(C138:C174)</f>
        <v>31855995.87</v>
      </c>
      <c r="D175" s="63">
        <f>SUM(D138:D174)</f>
        <v>31855995.87</v>
      </c>
      <c r="F175" s="59"/>
      <c r="G175" s="59"/>
      <c r="H175" s="62">
        <f>SUM(H138:H174)</f>
        <v>31855995.87</v>
      </c>
      <c r="I175" s="63">
        <f>SUM(I138:I174)</f>
        <v>31855995.87</v>
      </c>
    </row>
    <row r="176" spans="1:9" ht="21" customHeight="1">
      <c r="A176" s="750" t="s">
        <v>71</v>
      </c>
      <c r="B176" s="750"/>
      <c r="C176" s="750"/>
      <c r="D176" s="750"/>
      <c r="F176" s="750" t="s">
        <v>71</v>
      </c>
      <c r="G176" s="750"/>
      <c r="H176" s="750"/>
      <c r="I176" s="750"/>
    </row>
    <row r="177" spans="1:9" ht="21" customHeight="1">
      <c r="A177" s="750" t="s">
        <v>141</v>
      </c>
      <c r="B177" s="750"/>
      <c r="C177" s="750"/>
      <c r="D177" s="750"/>
      <c r="F177" s="750" t="s">
        <v>141</v>
      </c>
      <c r="G177" s="750"/>
      <c r="H177" s="750"/>
      <c r="I177" s="750"/>
    </row>
    <row r="178" spans="1:9" ht="21" customHeight="1">
      <c r="A178" s="750" t="s">
        <v>142</v>
      </c>
      <c r="B178" s="750"/>
      <c r="C178" s="750"/>
      <c r="D178" s="750"/>
      <c r="F178" s="750" t="s">
        <v>142</v>
      </c>
      <c r="G178" s="750"/>
      <c r="H178" s="750"/>
      <c r="I178" s="750"/>
    </row>
    <row r="179" spans="1:9" ht="21" customHeight="1">
      <c r="A179" s="51" t="s">
        <v>32</v>
      </c>
      <c r="B179" s="51" t="s">
        <v>83</v>
      </c>
      <c r="C179" s="52" t="s">
        <v>84</v>
      </c>
      <c r="D179" s="52" t="s">
        <v>85</v>
      </c>
      <c r="F179" s="51" t="s">
        <v>32</v>
      </c>
      <c r="G179" s="51" t="s">
        <v>83</v>
      </c>
      <c r="H179" s="52" t="s">
        <v>84</v>
      </c>
      <c r="I179" s="52" t="s">
        <v>85</v>
      </c>
    </row>
    <row r="180" spans="1:9" ht="21" customHeight="1">
      <c r="A180" s="53" t="s">
        <v>86</v>
      </c>
      <c r="B180" s="54" t="s">
        <v>87</v>
      </c>
      <c r="C180" s="55">
        <v>27471.75</v>
      </c>
      <c r="D180" s="56">
        <v>0</v>
      </c>
      <c r="F180" s="53" t="s">
        <v>86</v>
      </c>
      <c r="G180" s="54" t="s">
        <v>87</v>
      </c>
      <c r="H180" s="55">
        <v>27471.75</v>
      </c>
      <c r="I180" s="56">
        <v>0</v>
      </c>
    </row>
    <row r="181" spans="1:9" ht="21" customHeight="1">
      <c r="A181" s="53" t="s">
        <v>114</v>
      </c>
      <c r="B181" s="54" t="s">
        <v>89</v>
      </c>
      <c r="C181" s="55">
        <v>99311.15</v>
      </c>
      <c r="D181" s="56">
        <v>0</v>
      </c>
      <c r="F181" s="53" t="s">
        <v>114</v>
      </c>
      <c r="G181" s="54" t="s">
        <v>89</v>
      </c>
      <c r="H181" s="55">
        <v>99311.15</v>
      </c>
      <c r="I181" s="56">
        <v>0</v>
      </c>
    </row>
    <row r="182" spans="1:9" ht="21" customHeight="1">
      <c r="A182" s="53" t="s">
        <v>115</v>
      </c>
      <c r="B182" s="54" t="s">
        <v>89</v>
      </c>
      <c r="C182" s="55">
        <v>1189074</v>
      </c>
      <c r="D182" s="56">
        <v>0</v>
      </c>
      <c r="F182" s="53" t="s">
        <v>115</v>
      </c>
      <c r="G182" s="54" t="s">
        <v>89</v>
      </c>
      <c r="H182" s="55">
        <v>1189074</v>
      </c>
      <c r="I182" s="56">
        <v>0</v>
      </c>
    </row>
    <row r="183" spans="1:9" ht="21" customHeight="1">
      <c r="A183" s="53" t="s">
        <v>137</v>
      </c>
      <c r="B183" s="54" t="s">
        <v>89</v>
      </c>
      <c r="C183" s="54">
        <v>245199.32</v>
      </c>
      <c r="D183" s="56">
        <v>0</v>
      </c>
      <c r="F183" s="53" t="s">
        <v>137</v>
      </c>
      <c r="G183" s="54" t="s">
        <v>89</v>
      </c>
      <c r="H183" s="54">
        <v>245199.32</v>
      </c>
      <c r="I183" s="56">
        <v>0</v>
      </c>
    </row>
    <row r="184" spans="1:9" ht="21" customHeight="1">
      <c r="A184" s="53" t="s">
        <v>138</v>
      </c>
      <c r="B184" s="54" t="s">
        <v>89</v>
      </c>
      <c r="C184" s="54">
        <v>618088.02</v>
      </c>
      <c r="D184" s="56">
        <v>0</v>
      </c>
      <c r="F184" s="53" t="s">
        <v>138</v>
      </c>
      <c r="G184" s="54" t="s">
        <v>89</v>
      </c>
      <c r="H184" s="54">
        <v>618088.02</v>
      </c>
      <c r="I184" s="56">
        <v>0</v>
      </c>
    </row>
    <row r="185" spans="1:9" ht="21" customHeight="1">
      <c r="A185" s="53" t="s">
        <v>118</v>
      </c>
      <c r="B185" s="54" t="s">
        <v>89</v>
      </c>
      <c r="C185" s="55">
        <v>11208482.22</v>
      </c>
      <c r="D185" s="56">
        <v>0</v>
      </c>
      <c r="F185" s="53" t="s">
        <v>118</v>
      </c>
      <c r="G185" s="54" t="s">
        <v>89</v>
      </c>
      <c r="H185" s="55">
        <v>11208482.22</v>
      </c>
      <c r="I185" s="56">
        <v>0</v>
      </c>
    </row>
    <row r="186" spans="1:9" ht="21" customHeight="1">
      <c r="A186" s="53" t="s">
        <v>119</v>
      </c>
      <c r="B186" s="54" t="s">
        <v>89</v>
      </c>
      <c r="C186" s="55">
        <v>8093736.94</v>
      </c>
      <c r="D186" s="56">
        <v>0</v>
      </c>
      <c r="F186" s="53" t="s">
        <v>119</v>
      </c>
      <c r="G186" s="54" t="s">
        <v>89</v>
      </c>
      <c r="H186" s="55">
        <v>8093736.94</v>
      </c>
      <c r="I186" s="56">
        <v>0</v>
      </c>
    </row>
    <row r="187" spans="1:9" ht="21" customHeight="1">
      <c r="A187" s="53" t="s">
        <v>120</v>
      </c>
      <c r="B187" s="54" t="s">
        <v>89</v>
      </c>
      <c r="C187" s="55">
        <v>99130.7</v>
      </c>
      <c r="D187" s="56">
        <v>0</v>
      </c>
      <c r="F187" s="53" t="s">
        <v>120</v>
      </c>
      <c r="G187" s="54" t="s">
        <v>89</v>
      </c>
      <c r="H187" s="55">
        <v>99130.7</v>
      </c>
      <c r="I187" s="56">
        <v>0</v>
      </c>
    </row>
    <row r="188" spans="1:9" ht="21" customHeight="1">
      <c r="A188" s="53" t="s">
        <v>121</v>
      </c>
      <c r="B188" s="54" t="s">
        <v>89</v>
      </c>
      <c r="C188" s="55">
        <v>114959.37</v>
      </c>
      <c r="D188" s="56">
        <v>0</v>
      </c>
      <c r="F188" s="53" t="s">
        <v>121</v>
      </c>
      <c r="G188" s="54" t="s">
        <v>89</v>
      </c>
      <c r="H188" s="55">
        <v>114959.37</v>
      </c>
      <c r="I188" s="56">
        <v>0</v>
      </c>
    </row>
    <row r="189" spans="1:9" ht="21" customHeight="1">
      <c r="A189" s="53" t="s">
        <v>96</v>
      </c>
      <c r="B189" s="57">
        <v>701</v>
      </c>
      <c r="C189" s="55">
        <v>6405630.62</v>
      </c>
      <c r="D189" s="56"/>
      <c r="F189" s="53" t="s">
        <v>96</v>
      </c>
      <c r="G189" s="57">
        <v>701</v>
      </c>
      <c r="H189" s="55">
        <v>6405630.62</v>
      </c>
      <c r="I189" s="56"/>
    </row>
    <row r="190" spans="1:9" ht="21" customHeight="1">
      <c r="A190" s="53" t="s">
        <v>122</v>
      </c>
      <c r="B190" s="54"/>
      <c r="C190" s="55">
        <v>18475</v>
      </c>
      <c r="D190" s="56">
        <v>0</v>
      </c>
      <c r="F190" s="53" t="s">
        <v>122</v>
      </c>
      <c r="G190" s="54"/>
      <c r="H190" s="55">
        <v>18475</v>
      </c>
      <c r="I190" s="56">
        <v>0</v>
      </c>
    </row>
    <row r="191" spans="1:9" ht="21" customHeight="1">
      <c r="A191" s="53" t="s">
        <v>123</v>
      </c>
      <c r="B191" s="54" t="s">
        <v>124</v>
      </c>
      <c r="C191" s="55">
        <v>5212</v>
      </c>
      <c r="D191" s="56">
        <v>0</v>
      </c>
      <c r="F191" s="53" t="s">
        <v>123</v>
      </c>
      <c r="G191" s="54" t="s">
        <v>124</v>
      </c>
      <c r="H191" s="55">
        <v>5212</v>
      </c>
      <c r="I191" s="56">
        <v>0</v>
      </c>
    </row>
    <row r="192" spans="1:9" ht="21" customHeight="1">
      <c r="A192" s="53" t="s">
        <v>125</v>
      </c>
      <c r="B192" s="54" t="s">
        <v>98</v>
      </c>
      <c r="C192" s="54">
        <v>0</v>
      </c>
      <c r="D192" s="56">
        <v>0</v>
      </c>
      <c r="F192" s="53" t="s">
        <v>125</v>
      </c>
      <c r="G192" s="54" t="s">
        <v>98</v>
      </c>
      <c r="H192" s="54">
        <v>0</v>
      </c>
      <c r="I192" s="56">
        <v>0</v>
      </c>
    </row>
    <row r="193" spans="1:9" ht="21" customHeight="1">
      <c r="A193" s="53" t="s">
        <v>100</v>
      </c>
      <c r="B193" s="54" t="s">
        <v>101</v>
      </c>
      <c r="C193" s="54">
        <v>0</v>
      </c>
      <c r="D193" s="56">
        <v>0</v>
      </c>
      <c r="F193" s="53" t="s">
        <v>100</v>
      </c>
      <c r="G193" s="54" t="s">
        <v>101</v>
      </c>
      <c r="H193" s="54">
        <v>0</v>
      </c>
      <c r="I193" s="56">
        <v>0</v>
      </c>
    </row>
    <row r="194" spans="1:9" ht="21" customHeight="1">
      <c r="A194" s="53" t="s">
        <v>73</v>
      </c>
      <c r="B194" s="57">
        <v>100</v>
      </c>
      <c r="C194" s="54">
        <v>520970</v>
      </c>
      <c r="D194" s="56">
        <v>0</v>
      </c>
      <c r="F194" s="53" t="s">
        <v>73</v>
      </c>
      <c r="G194" s="57">
        <v>100</v>
      </c>
      <c r="H194" s="54">
        <v>520970</v>
      </c>
      <c r="I194" s="56">
        <v>0</v>
      </c>
    </row>
    <row r="195" spans="1:9" ht="21" customHeight="1">
      <c r="A195" s="53" t="s">
        <v>46</v>
      </c>
      <c r="B195" s="57">
        <v>120</v>
      </c>
      <c r="C195" s="55">
        <v>74310</v>
      </c>
      <c r="D195" s="56">
        <v>0</v>
      </c>
      <c r="F195" s="53" t="s">
        <v>46</v>
      </c>
      <c r="G195" s="57">
        <v>120</v>
      </c>
      <c r="H195" s="55">
        <v>74310</v>
      </c>
      <c r="I195" s="56">
        <v>0</v>
      </c>
    </row>
    <row r="196" spans="1:9" ht="21" customHeight="1">
      <c r="A196" s="53" t="s">
        <v>74</v>
      </c>
      <c r="B196" s="57">
        <v>130</v>
      </c>
      <c r="C196" s="55">
        <v>274608</v>
      </c>
      <c r="D196" s="56">
        <v>0</v>
      </c>
      <c r="F196" s="53" t="s">
        <v>74</v>
      </c>
      <c r="G196" s="57">
        <v>130</v>
      </c>
      <c r="H196" s="55">
        <v>274608</v>
      </c>
      <c r="I196" s="56">
        <v>0</v>
      </c>
    </row>
    <row r="197" spans="1:9" ht="21" customHeight="1">
      <c r="A197" s="53" t="s">
        <v>75</v>
      </c>
      <c r="B197" s="57">
        <v>200</v>
      </c>
      <c r="C197" s="55">
        <v>175724</v>
      </c>
      <c r="D197" s="56">
        <v>0</v>
      </c>
      <c r="F197" s="53" t="s">
        <v>75</v>
      </c>
      <c r="G197" s="57">
        <v>200</v>
      </c>
      <c r="H197" s="55">
        <v>175724</v>
      </c>
      <c r="I197" s="56">
        <v>0</v>
      </c>
    </row>
    <row r="198" spans="1:9" ht="21" customHeight="1">
      <c r="A198" s="53" t="s">
        <v>76</v>
      </c>
      <c r="B198" s="57">
        <v>250</v>
      </c>
      <c r="C198" s="55">
        <v>118890</v>
      </c>
      <c r="D198" s="56">
        <v>0</v>
      </c>
      <c r="F198" s="53" t="s">
        <v>76</v>
      </c>
      <c r="G198" s="57">
        <v>250</v>
      </c>
      <c r="H198" s="55">
        <v>118890</v>
      </c>
      <c r="I198" s="56">
        <v>0</v>
      </c>
    </row>
    <row r="199" spans="1:9" ht="21" customHeight="1">
      <c r="A199" s="53" t="s">
        <v>77</v>
      </c>
      <c r="B199" s="57">
        <v>270</v>
      </c>
      <c r="C199" s="55">
        <v>125386.8</v>
      </c>
      <c r="D199" s="56">
        <v>0</v>
      </c>
      <c r="F199" s="53" t="s">
        <v>77</v>
      </c>
      <c r="G199" s="57">
        <v>270</v>
      </c>
      <c r="H199" s="55">
        <v>125386.8</v>
      </c>
      <c r="I199" s="56">
        <v>0</v>
      </c>
    </row>
    <row r="200" spans="1:9" ht="21" customHeight="1">
      <c r="A200" s="53" t="s">
        <v>51</v>
      </c>
      <c r="B200" s="57">
        <v>300</v>
      </c>
      <c r="C200" s="55">
        <v>5089.72</v>
      </c>
      <c r="D200" s="56">
        <v>0</v>
      </c>
      <c r="F200" s="53" t="s">
        <v>51</v>
      </c>
      <c r="G200" s="57">
        <v>300</v>
      </c>
      <c r="H200" s="55">
        <v>5089.72</v>
      </c>
      <c r="I200" s="56">
        <v>0</v>
      </c>
    </row>
    <row r="201" spans="1:9" ht="21" customHeight="1">
      <c r="A201" s="53" t="s">
        <v>54</v>
      </c>
      <c r="B201" s="57">
        <v>450</v>
      </c>
      <c r="C201" s="55">
        <v>0</v>
      </c>
      <c r="D201" s="56">
        <v>0</v>
      </c>
      <c r="F201" s="53" t="s">
        <v>54</v>
      </c>
      <c r="G201" s="57">
        <v>450</v>
      </c>
      <c r="H201" s="55">
        <v>0</v>
      </c>
      <c r="I201" s="56">
        <v>0</v>
      </c>
    </row>
    <row r="202" spans="1:9" ht="21" customHeight="1">
      <c r="A202" s="53" t="s">
        <v>55</v>
      </c>
      <c r="B202" s="57">
        <v>500</v>
      </c>
      <c r="C202" s="55">
        <v>0</v>
      </c>
      <c r="D202" s="56">
        <v>0</v>
      </c>
      <c r="F202" s="53" t="s">
        <v>55</v>
      </c>
      <c r="G202" s="57">
        <v>500</v>
      </c>
      <c r="H202" s="55">
        <v>0</v>
      </c>
      <c r="I202" s="56">
        <v>0</v>
      </c>
    </row>
    <row r="203" spans="1:9" ht="21" customHeight="1">
      <c r="A203" s="53" t="s">
        <v>2</v>
      </c>
      <c r="B203" s="58" t="s">
        <v>102</v>
      </c>
      <c r="C203" s="55">
        <v>146756</v>
      </c>
      <c r="D203" s="56">
        <v>0</v>
      </c>
      <c r="F203" s="53" t="s">
        <v>2</v>
      </c>
      <c r="G203" s="58" t="s">
        <v>102</v>
      </c>
      <c r="H203" s="55">
        <v>146756</v>
      </c>
      <c r="I203" s="56">
        <v>0</v>
      </c>
    </row>
    <row r="204" spans="1:9" ht="21" customHeight="1">
      <c r="A204" s="53" t="s">
        <v>52</v>
      </c>
      <c r="B204" s="57">
        <v>400</v>
      </c>
      <c r="C204" s="55">
        <v>0</v>
      </c>
      <c r="D204" s="56">
        <v>0</v>
      </c>
      <c r="F204" s="53" t="s">
        <v>52</v>
      </c>
      <c r="G204" s="57">
        <v>400</v>
      </c>
      <c r="H204" s="55">
        <v>0</v>
      </c>
      <c r="I204" s="56">
        <v>0</v>
      </c>
    </row>
    <row r="205" spans="1:9" ht="21" customHeight="1">
      <c r="A205" s="53" t="s">
        <v>78</v>
      </c>
      <c r="B205" s="57"/>
      <c r="C205" s="55">
        <v>0</v>
      </c>
      <c r="D205" s="56">
        <v>0</v>
      </c>
      <c r="F205" s="53" t="s">
        <v>78</v>
      </c>
      <c r="G205" s="57"/>
      <c r="H205" s="55">
        <v>0</v>
      </c>
      <c r="I205" s="56">
        <v>0</v>
      </c>
    </row>
    <row r="206" spans="1:9" ht="21" customHeight="1">
      <c r="A206" s="53" t="s">
        <v>103</v>
      </c>
      <c r="B206" s="57">
        <v>821</v>
      </c>
      <c r="C206" s="55">
        <v>0</v>
      </c>
      <c r="D206" s="56">
        <v>1075928.17</v>
      </c>
      <c r="F206" s="53" t="s">
        <v>103</v>
      </c>
      <c r="G206" s="57">
        <v>821</v>
      </c>
      <c r="H206" s="55">
        <v>0</v>
      </c>
      <c r="I206" s="56">
        <v>1075928.17</v>
      </c>
    </row>
    <row r="207" spans="1:9" ht="21" customHeight="1">
      <c r="A207" s="53" t="s">
        <v>104</v>
      </c>
      <c r="B207" s="57">
        <v>900</v>
      </c>
      <c r="C207" s="55">
        <v>0</v>
      </c>
      <c r="D207" s="56">
        <v>1785581.02</v>
      </c>
      <c r="F207" s="53" t="s">
        <v>104</v>
      </c>
      <c r="G207" s="57">
        <v>900</v>
      </c>
      <c r="H207" s="55">
        <v>0</v>
      </c>
      <c r="I207" s="56">
        <v>1785581.02</v>
      </c>
    </row>
    <row r="208" spans="1:9" ht="21" customHeight="1">
      <c r="A208" s="53" t="s">
        <v>127</v>
      </c>
      <c r="B208" s="57"/>
      <c r="C208" s="54">
        <v>0</v>
      </c>
      <c r="D208" s="56">
        <v>0</v>
      </c>
      <c r="F208" s="53" t="s">
        <v>127</v>
      </c>
      <c r="G208" s="57"/>
      <c r="H208" s="54">
        <v>0</v>
      </c>
      <c r="I208" s="56">
        <v>0</v>
      </c>
    </row>
    <row r="209" spans="1:9" ht="21" customHeight="1">
      <c r="A209" s="53" t="s">
        <v>106</v>
      </c>
      <c r="B209" s="57">
        <v>600</v>
      </c>
      <c r="C209" s="54">
        <v>0</v>
      </c>
      <c r="D209" s="56">
        <v>1608899.69</v>
      </c>
      <c r="F209" s="53" t="s">
        <v>106</v>
      </c>
      <c r="G209" s="57">
        <v>600</v>
      </c>
      <c r="H209" s="54">
        <v>0</v>
      </c>
      <c r="I209" s="56">
        <v>1608899.69</v>
      </c>
    </row>
    <row r="210" spans="1:9" ht="21" customHeight="1">
      <c r="A210" s="53" t="s">
        <v>109</v>
      </c>
      <c r="B210" s="57"/>
      <c r="C210" s="54">
        <v>0</v>
      </c>
      <c r="D210" s="56">
        <v>17000</v>
      </c>
      <c r="F210" s="53" t="s">
        <v>109</v>
      </c>
      <c r="G210" s="57"/>
      <c r="H210" s="54">
        <v>0</v>
      </c>
      <c r="I210" s="56">
        <v>17000</v>
      </c>
    </row>
    <row r="211" spans="1:9" ht="21" customHeight="1">
      <c r="A211" s="53" t="s">
        <v>127</v>
      </c>
      <c r="B211" s="57">
        <v>602</v>
      </c>
      <c r="C211" s="54">
        <v>2279160</v>
      </c>
      <c r="D211" s="56">
        <v>0</v>
      </c>
      <c r="F211" s="53" t="s">
        <v>127</v>
      </c>
      <c r="G211" s="57">
        <v>602</v>
      </c>
      <c r="H211" s="54">
        <v>2279160</v>
      </c>
      <c r="I211" s="56">
        <v>0</v>
      </c>
    </row>
    <row r="212" spans="1:9" ht="21" customHeight="1">
      <c r="A212" s="53" t="s">
        <v>107</v>
      </c>
      <c r="B212" s="57">
        <v>700</v>
      </c>
      <c r="C212" s="54">
        <v>0</v>
      </c>
      <c r="D212" s="56">
        <v>14430425.8</v>
      </c>
      <c r="F212" s="53" t="s">
        <v>107</v>
      </c>
      <c r="G212" s="57">
        <v>700</v>
      </c>
      <c r="H212" s="54">
        <v>0</v>
      </c>
      <c r="I212" s="56">
        <v>14430425.8</v>
      </c>
    </row>
    <row r="213" spans="1:9" ht="21" customHeight="1">
      <c r="A213" s="53" t="s">
        <v>129</v>
      </c>
      <c r="B213" s="57"/>
      <c r="C213" s="54">
        <v>17000</v>
      </c>
      <c r="D213" s="56">
        <v>0</v>
      </c>
      <c r="F213" s="53" t="s">
        <v>129</v>
      </c>
      <c r="G213" s="57"/>
      <c r="H213" s="54">
        <v>17000</v>
      </c>
      <c r="I213" s="56">
        <v>0</v>
      </c>
    </row>
    <row r="214" spans="1:9" ht="21" customHeight="1">
      <c r="A214" s="53" t="s">
        <v>108</v>
      </c>
      <c r="B214" s="57"/>
      <c r="C214" s="54">
        <v>0</v>
      </c>
      <c r="D214" s="56">
        <v>12944830.93</v>
      </c>
      <c r="F214" s="53" t="s">
        <v>108</v>
      </c>
      <c r="G214" s="57"/>
      <c r="H214" s="54">
        <v>0</v>
      </c>
      <c r="I214" s="56">
        <v>12944830.93</v>
      </c>
    </row>
    <row r="215" spans="1:9" ht="21" customHeight="1">
      <c r="A215" s="53" t="s">
        <v>140</v>
      </c>
      <c r="B215" s="57"/>
      <c r="C215" s="54"/>
      <c r="D215" s="56">
        <v>0</v>
      </c>
      <c r="F215" s="53" t="s">
        <v>140</v>
      </c>
      <c r="G215" s="57"/>
      <c r="H215" s="54"/>
      <c r="I215" s="56">
        <v>0</v>
      </c>
    </row>
    <row r="216" spans="1:9" ht="21" customHeight="1">
      <c r="A216" s="53"/>
      <c r="B216" s="57"/>
      <c r="C216" s="55"/>
      <c r="D216" s="56"/>
      <c r="F216" s="53"/>
      <c r="G216" s="57"/>
      <c r="H216" s="55"/>
      <c r="I216" s="56"/>
    </row>
    <row r="217" spans="1:9" ht="21" customHeight="1" thickBot="1">
      <c r="A217" s="59"/>
      <c r="B217" s="59"/>
      <c r="C217" s="62">
        <f>SUM(C180:C216)</f>
        <v>31862665.610000003</v>
      </c>
      <c r="D217" s="63">
        <f>SUM(D180:D216)</f>
        <v>31862665.61</v>
      </c>
      <c r="F217" s="59"/>
      <c r="G217" s="59"/>
      <c r="H217" s="62">
        <f>SUM(H180:H216)</f>
        <v>31862665.610000003</v>
      </c>
      <c r="I217" s="63">
        <f>SUM(I180:I216)</f>
        <v>31862665.61</v>
      </c>
    </row>
    <row r="220" spans="1:9" ht="21" customHeight="1">
      <c r="A220" s="750" t="s">
        <v>71</v>
      </c>
      <c r="B220" s="750"/>
      <c r="C220" s="750"/>
      <c r="D220" s="750"/>
      <c r="F220" s="750" t="s">
        <v>71</v>
      </c>
      <c r="G220" s="750"/>
      <c r="H220" s="750"/>
      <c r="I220" s="750"/>
    </row>
    <row r="221" spans="1:9" ht="21" customHeight="1">
      <c r="A221" s="750" t="s">
        <v>141</v>
      </c>
      <c r="B221" s="750"/>
      <c r="C221" s="750"/>
      <c r="D221" s="750"/>
      <c r="F221" s="750" t="s">
        <v>141</v>
      </c>
      <c r="G221" s="750"/>
      <c r="H221" s="750"/>
      <c r="I221" s="750"/>
    </row>
    <row r="222" spans="1:9" ht="21" customHeight="1">
      <c r="A222" s="750" t="s">
        <v>143</v>
      </c>
      <c r="B222" s="750"/>
      <c r="C222" s="750"/>
      <c r="D222" s="750"/>
      <c r="F222" s="750" t="s">
        <v>143</v>
      </c>
      <c r="G222" s="750"/>
      <c r="H222" s="750"/>
      <c r="I222" s="750"/>
    </row>
    <row r="223" spans="1:9" ht="21" customHeight="1">
      <c r="A223" s="51" t="s">
        <v>32</v>
      </c>
      <c r="B223" s="51" t="s">
        <v>83</v>
      </c>
      <c r="C223" s="52" t="s">
        <v>84</v>
      </c>
      <c r="D223" s="52" t="s">
        <v>85</v>
      </c>
      <c r="F223" s="51" t="s">
        <v>32</v>
      </c>
      <c r="G223" s="51" t="s">
        <v>83</v>
      </c>
      <c r="H223" s="52" t="s">
        <v>84</v>
      </c>
      <c r="I223" s="52" t="s">
        <v>85</v>
      </c>
    </row>
    <row r="224" spans="1:9" ht="21" customHeight="1">
      <c r="A224" s="53" t="s">
        <v>86</v>
      </c>
      <c r="B224" s="54" t="s">
        <v>87</v>
      </c>
      <c r="C224" s="55">
        <v>0</v>
      </c>
      <c r="D224" s="56">
        <v>0</v>
      </c>
      <c r="F224" s="53" t="s">
        <v>86</v>
      </c>
      <c r="G224" s="54" t="s">
        <v>87</v>
      </c>
      <c r="H224" s="55">
        <v>0</v>
      </c>
      <c r="I224" s="56">
        <v>0</v>
      </c>
    </row>
    <row r="225" spans="1:9" ht="21" customHeight="1">
      <c r="A225" s="53" t="s">
        <v>114</v>
      </c>
      <c r="B225" s="54" t="s">
        <v>89</v>
      </c>
      <c r="C225" s="55">
        <v>189215.37</v>
      </c>
      <c r="D225" s="56">
        <v>0</v>
      </c>
      <c r="F225" s="53" t="s">
        <v>114</v>
      </c>
      <c r="G225" s="54" t="s">
        <v>89</v>
      </c>
      <c r="H225" s="55">
        <v>189215.37</v>
      </c>
      <c r="I225" s="56">
        <v>0</v>
      </c>
    </row>
    <row r="226" spans="1:9" ht="21" customHeight="1">
      <c r="A226" s="53" t="s">
        <v>115</v>
      </c>
      <c r="B226" s="54" t="s">
        <v>89</v>
      </c>
      <c r="C226" s="55">
        <v>800572.14</v>
      </c>
      <c r="D226" s="56">
        <v>0</v>
      </c>
      <c r="F226" s="53" t="s">
        <v>115</v>
      </c>
      <c r="G226" s="54" t="s">
        <v>89</v>
      </c>
      <c r="H226" s="55">
        <v>800572.14</v>
      </c>
      <c r="I226" s="56">
        <v>0</v>
      </c>
    </row>
    <row r="227" spans="1:9" ht="21" customHeight="1">
      <c r="A227" s="53" t="s">
        <v>137</v>
      </c>
      <c r="B227" s="54" t="s">
        <v>89</v>
      </c>
      <c r="C227" s="54">
        <v>245645.5</v>
      </c>
      <c r="D227" s="56">
        <v>0</v>
      </c>
      <c r="F227" s="53" t="s">
        <v>137</v>
      </c>
      <c r="G227" s="54" t="s">
        <v>89</v>
      </c>
      <c r="H227" s="54">
        <v>245645.5</v>
      </c>
      <c r="I227" s="56">
        <v>0</v>
      </c>
    </row>
    <row r="228" spans="1:9" ht="21" customHeight="1">
      <c r="A228" s="53" t="s">
        <v>138</v>
      </c>
      <c r="B228" s="54" t="s">
        <v>89</v>
      </c>
      <c r="C228" s="55">
        <v>2190</v>
      </c>
      <c r="D228" s="56">
        <v>0</v>
      </c>
      <c r="F228" s="53" t="s">
        <v>138</v>
      </c>
      <c r="G228" s="54" t="s">
        <v>89</v>
      </c>
      <c r="H228" s="55">
        <v>2190</v>
      </c>
      <c r="I228" s="56">
        <v>0</v>
      </c>
    </row>
    <row r="229" spans="1:9" ht="21" customHeight="1">
      <c r="A229" s="53" t="s">
        <v>118</v>
      </c>
      <c r="B229" s="54" t="s">
        <v>89</v>
      </c>
      <c r="C229" s="55">
        <v>11298388.47</v>
      </c>
      <c r="D229" s="56">
        <v>0</v>
      </c>
      <c r="F229" s="53" t="s">
        <v>118</v>
      </c>
      <c r="G229" s="54" t="s">
        <v>89</v>
      </c>
      <c r="H229" s="55">
        <v>11298388.47</v>
      </c>
      <c r="I229" s="56">
        <v>0</v>
      </c>
    </row>
    <row r="230" spans="1:9" ht="21" customHeight="1">
      <c r="A230" s="53" t="s">
        <v>119</v>
      </c>
      <c r="B230" s="54" t="s">
        <v>89</v>
      </c>
      <c r="C230" s="55">
        <v>18609999.96</v>
      </c>
      <c r="D230" s="56">
        <v>0</v>
      </c>
      <c r="F230" s="53" t="s">
        <v>119</v>
      </c>
      <c r="G230" s="54" t="s">
        <v>89</v>
      </c>
      <c r="H230" s="55">
        <v>18609999.96</v>
      </c>
      <c r="I230" s="56">
        <v>0</v>
      </c>
    </row>
    <row r="231" spans="1:9" ht="21" customHeight="1">
      <c r="A231" s="53" t="s">
        <v>120</v>
      </c>
      <c r="B231" s="54" t="s">
        <v>89</v>
      </c>
      <c r="C231" s="55">
        <v>99286.37</v>
      </c>
      <c r="D231" s="56">
        <v>0</v>
      </c>
      <c r="F231" s="53" t="s">
        <v>120</v>
      </c>
      <c r="G231" s="54" t="s">
        <v>89</v>
      </c>
      <c r="H231" s="55">
        <v>99286.37</v>
      </c>
      <c r="I231" s="56">
        <v>0</v>
      </c>
    </row>
    <row r="232" spans="1:9" ht="21" customHeight="1">
      <c r="A232" s="53" t="s">
        <v>121</v>
      </c>
      <c r="B232" s="54" t="s">
        <v>89</v>
      </c>
      <c r="C232" s="55">
        <v>114984.37</v>
      </c>
      <c r="D232" s="56">
        <v>0</v>
      </c>
      <c r="F232" s="53" t="s">
        <v>121</v>
      </c>
      <c r="G232" s="54" t="s">
        <v>89</v>
      </c>
      <c r="H232" s="55">
        <v>114984.37</v>
      </c>
      <c r="I232" s="56">
        <v>0</v>
      </c>
    </row>
    <row r="233" spans="1:9" ht="21" customHeight="1">
      <c r="A233" s="53" t="s">
        <v>96</v>
      </c>
      <c r="B233" s="57">
        <v>701</v>
      </c>
      <c r="C233" s="55">
        <v>7138633.59</v>
      </c>
      <c r="D233" s="56"/>
      <c r="F233" s="53" t="s">
        <v>96</v>
      </c>
      <c r="G233" s="57">
        <v>701</v>
      </c>
      <c r="H233" s="55">
        <v>7138633.59</v>
      </c>
      <c r="I233" s="56"/>
    </row>
    <row r="234" spans="1:9" ht="21" customHeight="1">
      <c r="A234" s="53" t="s">
        <v>122</v>
      </c>
      <c r="B234" s="54"/>
      <c r="C234" s="55">
        <v>16525</v>
      </c>
      <c r="D234" s="56">
        <v>0</v>
      </c>
      <c r="F234" s="53" t="s">
        <v>122</v>
      </c>
      <c r="G234" s="54"/>
      <c r="H234" s="55">
        <v>16525</v>
      </c>
      <c r="I234" s="56">
        <v>0</v>
      </c>
    </row>
    <row r="235" spans="1:9" ht="21" customHeight="1">
      <c r="A235" s="53" t="s">
        <v>123</v>
      </c>
      <c r="B235" s="54" t="s">
        <v>124</v>
      </c>
      <c r="C235" s="55">
        <v>3128</v>
      </c>
      <c r="D235" s="56">
        <v>0</v>
      </c>
      <c r="F235" s="53" t="s">
        <v>123</v>
      </c>
      <c r="G235" s="54" t="s">
        <v>124</v>
      </c>
      <c r="H235" s="55">
        <v>3128</v>
      </c>
      <c r="I235" s="56">
        <v>0</v>
      </c>
    </row>
    <row r="236" spans="1:9" ht="21" customHeight="1">
      <c r="A236" s="53" t="s">
        <v>100</v>
      </c>
      <c r="B236" s="54" t="s">
        <v>101</v>
      </c>
      <c r="C236" s="54">
        <v>33010</v>
      </c>
      <c r="D236" s="56">
        <v>0</v>
      </c>
      <c r="F236" s="53" t="s">
        <v>100</v>
      </c>
      <c r="G236" s="54" t="s">
        <v>101</v>
      </c>
      <c r="H236" s="54">
        <v>33010</v>
      </c>
      <c r="I236" s="56">
        <v>0</v>
      </c>
    </row>
    <row r="237" spans="1:9" ht="21" customHeight="1">
      <c r="A237" s="53" t="s">
        <v>73</v>
      </c>
      <c r="B237" s="57">
        <v>100</v>
      </c>
      <c r="C237" s="54">
        <v>4759343</v>
      </c>
      <c r="D237" s="56">
        <v>0</v>
      </c>
      <c r="F237" s="53" t="s">
        <v>73</v>
      </c>
      <c r="G237" s="57">
        <v>100</v>
      </c>
      <c r="H237" s="54">
        <v>4759343</v>
      </c>
      <c r="I237" s="56">
        <v>0</v>
      </c>
    </row>
    <row r="238" spans="1:9" ht="21" customHeight="1">
      <c r="A238" s="53" t="s">
        <v>46</v>
      </c>
      <c r="B238" s="57">
        <v>120</v>
      </c>
      <c r="C238" s="55">
        <v>613760</v>
      </c>
      <c r="D238" s="56">
        <v>0</v>
      </c>
      <c r="F238" s="53" t="s">
        <v>46</v>
      </c>
      <c r="G238" s="57">
        <v>120</v>
      </c>
      <c r="H238" s="55">
        <v>613760</v>
      </c>
      <c r="I238" s="56">
        <v>0</v>
      </c>
    </row>
    <row r="239" spans="1:9" ht="21" customHeight="1">
      <c r="A239" s="53" t="s">
        <v>74</v>
      </c>
      <c r="B239" s="57">
        <v>130</v>
      </c>
      <c r="C239" s="55">
        <v>2985688</v>
      </c>
      <c r="D239" s="56">
        <v>0</v>
      </c>
      <c r="F239" s="53" t="s">
        <v>74</v>
      </c>
      <c r="G239" s="57">
        <v>130</v>
      </c>
      <c r="H239" s="55">
        <v>2985688</v>
      </c>
      <c r="I239" s="56">
        <v>0</v>
      </c>
    </row>
    <row r="240" spans="1:9" ht="21" customHeight="1">
      <c r="A240" s="53" t="s">
        <v>75</v>
      </c>
      <c r="B240" s="57">
        <v>200</v>
      </c>
      <c r="C240" s="55">
        <v>1587675</v>
      </c>
      <c r="D240" s="56">
        <v>0</v>
      </c>
      <c r="F240" s="53" t="s">
        <v>75</v>
      </c>
      <c r="G240" s="57">
        <v>200</v>
      </c>
      <c r="H240" s="55">
        <v>1587675</v>
      </c>
      <c r="I240" s="56">
        <v>0</v>
      </c>
    </row>
    <row r="241" spans="1:9" ht="21" customHeight="1">
      <c r="A241" s="53" t="s">
        <v>76</v>
      </c>
      <c r="B241" s="57">
        <v>250</v>
      </c>
      <c r="C241" s="55">
        <v>7278519.87</v>
      </c>
      <c r="D241" s="56">
        <v>0</v>
      </c>
      <c r="F241" s="53" t="s">
        <v>76</v>
      </c>
      <c r="G241" s="57">
        <v>250</v>
      </c>
      <c r="H241" s="55">
        <v>7278519.87</v>
      </c>
      <c r="I241" s="56">
        <v>0</v>
      </c>
    </row>
    <row r="242" spans="1:9" ht="21" customHeight="1">
      <c r="A242" s="53" t="s">
        <v>77</v>
      </c>
      <c r="B242" s="57">
        <v>270</v>
      </c>
      <c r="C242" s="55">
        <v>3974419.86</v>
      </c>
      <c r="D242" s="56">
        <v>0</v>
      </c>
      <c r="F242" s="53" t="s">
        <v>77</v>
      </c>
      <c r="G242" s="57">
        <v>270</v>
      </c>
      <c r="H242" s="55">
        <v>3974419.86</v>
      </c>
      <c r="I242" s="56">
        <v>0</v>
      </c>
    </row>
    <row r="243" spans="1:9" ht="21" customHeight="1">
      <c r="A243" s="53" t="s">
        <v>51</v>
      </c>
      <c r="B243" s="57">
        <v>300</v>
      </c>
      <c r="C243" s="55">
        <v>329670.29</v>
      </c>
      <c r="D243" s="56">
        <v>0</v>
      </c>
      <c r="F243" s="53" t="s">
        <v>51</v>
      </c>
      <c r="G243" s="57">
        <v>300</v>
      </c>
      <c r="H243" s="55">
        <v>329670.29</v>
      </c>
      <c r="I243" s="56">
        <v>0</v>
      </c>
    </row>
    <row r="244" spans="1:9" ht="21" customHeight="1">
      <c r="A244" s="53" t="s">
        <v>54</v>
      </c>
      <c r="B244" s="57">
        <v>450</v>
      </c>
      <c r="C244" s="55">
        <v>251390</v>
      </c>
      <c r="D244" s="56">
        <v>0</v>
      </c>
      <c r="F244" s="53" t="s">
        <v>54</v>
      </c>
      <c r="G244" s="57">
        <v>450</v>
      </c>
      <c r="H244" s="55">
        <v>251390</v>
      </c>
      <c r="I244" s="56">
        <v>0</v>
      </c>
    </row>
    <row r="245" spans="1:9" ht="21" customHeight="1">
      <c r="A245" s="53" t="s">
        <v>55</v>
      </c>
      <c r="B245" s="57">
        <v>500</v>
      </c>
      <c r="C245" s="55">
        <v>4698300</v>
      </c>
      <c r="D245" s="56">
        <v>0</v>
      </c>
      <c r="F245" s="53" t="s">
        <v>55</v>
      </c>
      <c r="G245" s="57">
        <v>500</v>
      </c>
      <c r="H245" s="55">
        <v>4698300</v>
      </c>
      <c r="I245" s="56">
        <v>0</v>
      </c>
    </row>
    <row r="246" spans="1:9" ht="21" customHeight="1">
      <c r="A246" s="53" t="s">
        <v>2</v>
      </c>
      <c r="B246" s="58" t="s">
        <v>102</v>
      </c>
      <c r="C246" s="55">
        <v>2178243.7</v>
      </c>
      <c r="D246" s="56">
        <v>0</v>
      </c>
      <c r="F246" s="53" t="s">
        <v>2</v>
      </c>
      <c r="G246" s="58" t="s">
        <v>102</v>
      </c>
      <c r="H246" s="55">
        <v>2178243.7</v>
      </c>
      <c r="I246" s="56">
        <v>0</v>
      </c>
    </row>
    <row r="247" spans="1:9" ht="21" customHeight="1">
      <c r="A247" s="53" t="s">
        <v>52</v>
      </c>
      <c r="B247" s="57">
        <v>400</v>
      </c>
      <c r="C247" s="55">
        <v>153520</v>
      </c>
      <c r="D247" s="56">
        <v>0</v>
      </c>
      <c r="F247" s="53" t="s">
        <v>52</v>
      </c>
      <c r="G247" s="57">
        <v>400</v>
      </c>
      <c r="H247" s="55">
        <v>153520</v>
      </c>
      <c r="I247" s="56">
        <v>0</v>
      </c>
    </row>
    <row r="248" spans="1:9" ht="21" customHeight="1">
      <c r="A248" s="53" t="s">
        <v>78</v>
      </c>
      <c r="B248" s="57"/>
      <c r="C248" s="55"/>
      <c r="D248" s="56">
        <v>0</v>
      </c>
      <c r="F248" s="53" t="s">
        <v>78</v>
      </c>
      <c r="G248" s="57"/>
      <c r="H248" s="55"/>
      <c r="I248" s="56">
        <v>0</v>
      </c>
    </row>
    <row r="249" spans="1:9" ht="21" customHeight="1">
      <c r="A249" s="53" t="s">
        <v>103</v>
      </c>
      <c r="B249" s="57">
        <v>821</v>
      </c>
      <c r="C249" s="55" t="s">
        <v>27</v>
      </c>
      <c r="D249" s="56">
        <v>49428430.47</v>
      </c>
      <c r="F249" s="53" t="s">
        <v>103</v>
      </c>
      <c r="G249" s="57">
        <v>821</v>
      </c>
      <c r="H249" s="55" t="s">
        <v>27</v>
      </c>
      <c r="I249" s="56">
        <v>49428430.47</v>
      </c>
    </row>
    <row r="250" spans="1:9" ht="21" customHeight="1">
      <c r="A250" s="53" t="s">
        <v>104</v>
      </c>
      <c r="B250" s="57">
        <v>900</v>
      </c>
      <c r="C250" s="55" t="s">
        <v>27</v>
      </c>
      <c r="D250" s="56">
        <v>519192.8</v>
      </c>
      <c r="F250" s="53" t="s">
        <v>104</v>
      </c>
      <c r="G250" s="57">
        <v>900</v>
      </c>
      <c r="H250" s="55" t="s">
        <v>27</v>
      </c>
      <c r="I250" s="56">
        <v>519192.8</v>
      </c>
    </row>
    <row r="251" spans="1:9" ht="21" customHeight="1">
      <c r="A251" s="53" t="s">
        <v>130</v>
      </c>
      <c r="B251" s="57"/>
      <c r="C251" s="54">
        <v>670390</v>
      </c>
      <c r="D251" s="56" t="s">
        <v>27</v>
      </c>
      <c r="F251" s="53" t="s">
        <v>130</v>
      </c>
      <c r="G251" s="57"/>
      <c r="H251" s="54">
        <v>670390</v>
      </c>
      <c r="I251" s="56" t="s">
        <v>27</v>
      </c>
    </row>
    <row r="252" spans="1:9" ht="21" customHeight="1">
      <c r="A252" s="53" t="s">
        <v>106</v>
      </c>
      <c r="B252" s="57">
        <v>600</v>
      </c>
      <c r="C252" s="55" t="s">
        <v>27</v>
      </c>
      <c r="D252" s="56">
        <v>17330</v>
      </c>
      <c r="F252" s="53" t="s">
        <v>106</v>
      </c>
      <c r="G252" s="57">
        <v>600</v>
      </c>
      <c r="H252" s="55" t="s">
        <v>27</v>
      </c>
      <c r="I252" s="56">
        <v>17330</v>
      </c>
    </row>
    <row r="253" spans="1:9" ht="21" customHeight="1">
      <c r="A253" s="53" t="s">
        <v>144</v>
      </c>
      <c r="B253" s="57"/>
      <c r="C253" s="54">
        <v>244556</v>
      </c>
      <c r="D253" s="56" t="s">
        <v>27</v>
      </c>
      <c r="F253" s="53" t="s">
        <v>144</v>
      </c>
      <c r="G253" s="57"/>
      <c r="H253" s="54">
        <v>244556</v>
      </c>
      <c r="I253" s="56" t="s">
        <v>27</v>
      </c>
    </row>
    <row r="254" spans="1:9" ht="21" customHeight="1">
      <c r="A254" s="53" t="s">
        <v>127</v>
      </c>
      <c r="B254" s="57">
        <v>602</v>
      </c>
      <c r="C254" s="54">
        <v>1217580</v>
      </c>
      <c r="D254" s="56" t="s">
        <v>27</v>
      </c>
      <c r="F254" s="53" t="s">
        <v>127</v>
      </c>
      <c r="G254" s="57">
        <v>602</v>
      </c>
      <c r="H254" s="54">
        <v>1217580</v>
      </c>
      <c r="I254" s="56" t="s">
        <v>27</v>
      </c>
    </row>
    <row r="255" spans="1:9" ht="21" customHeight="1">
      <c r="A255" s="53" t="s">
        <v>107</v>
      </c>
      <c r="B255" s="57">
        <v>700</v>
      </c>
      <c r="C255" s="55" t="s">
        <v>27</v>
      </c>
      <c r="D255" s="56">
        <v>14470088.29</v>
      </c>
      <c r="F255" s="53" t="s">
        <v>107</v>
      </c>
      <c r="G255" s="57">
        <v>700</v>
      </c>
      <c r="H255" s="55" t="s">
        <v>27</v>
      </c>
      <c r="I255" s="56">
        <v>14470088.29</v>
      </c>
    </row>
    <row r="256" spans="1:9" ht="21" customHeight="1">
      <c r="A256" s="53" t="s">
        <v>145</v>
      </c>
      <c r="B256" s="57"/>
      <c r="C256" s="55" t="s">
        <v>27</v>
      </c>
      <c r="D256" s="56" t="s">
        <v>27</v>
      </c>
      <c r="F256" s="53" t="s">
        <v>145</v>
      </c>
      <c r="G256" s="57"/>
      <c r="H256" s="55" t="s">
        <v>27</v>
      </c>
      <c r="I256" s="56" t="s">
        <v>27</v>
      </c>
    </row>
    <row r="257" spans="1:9" ht="21" customHeight="1">
      <c r="A257" s="53" t="s">
        <v>108</v>
      </c>
      <c r="B257" s="57"/>
      <c r="C257" s="55" t="s">
        <v>27</v>
      </c>
      <c r="D257" s="56">
        <v>12944830.93</v>
      </c>
      <c r="F257" s="53" t="s">
        <v>108</v>
      </c>
      <c r="G257" s="57"/>
      <c r="H257" s="55" t="s">
        <v>27</v>
      </c>
      <c r="I257" s="56">
        <v>12944830.93</v>
      </c>
    </row>
    <row r="258" spans="1:9" ht="21" customHeight="1">
      <c r="A258" s="53" t="s">
        <v>146</v>
      </c>
      <c r="B258" s="57"/>
      <c r="C258" s="54">
        <v>1143000</v>
      </c>
      <c r="D258" s="56"/>
      <c r="F258" s="53" t="s">
        <v>146</v>
      </c>
      <c r="G258" s="57"/>
      <c r="H258" s="54">
        <v>1143000</v>
      </c>
      <c r="I258" s="56"/>
    </row>
    <row r="259" spans="1:9" ht="21" customHeight="1">
      <c r="A259" s="53" t="s">
        <v>126</v>
      </c>
      <c r="B259" s="57"/>
      <c r="C259" s="54">
        <v>670199</v>
      </c>
      <c r="D259" s="56"/>
      <c r="F259" s="53" t="s">
        <v>126</v>
      </c>
      <c r="G259" s="57"/>
      <c r="H259" s="54">
        <v>670199</v>
      </c>
      <c r="I259" s="56"/>
    </row>
    <row r="260" spans="1:9" ht="21" customHeight="1">
      <c r="A260" s="53" t="s">
        <v>147</v>
      </c>
      <c r="B260" s="57"/>
      <c r="C260" s="54">
        <v>0</v>
      </c>
      <c r="D260" s="56"/>
      <c r="F260" s="53" t="s">
        <v>147</v>
      </c>
      <c r="G260" s="57"/>
      <c r="H260" s="54">
        <v>0</v>
      </c>
      <c r="I260" s="56"/>
    </row>
    <row r="261" spans="1:9" ht="21" customHeight="1">
      <c r="A261" s="53" t="s">
        <v>133</v>
      </c>
      <c r="B261" s="57"/>
      <c r="C261" s="54">
        <v>2609500</v>
      </c>
      <c r="D261" s="56">
        <v>0</v>
      </c>
      <c r="F261" s="53" t="s">
        <v>133</v>
      </c>
      <c r="G261" s="57"/>
      <c r="H261" s="54">
        <v>2609500</v>
      </c>
      <c r="I261" s="56">
        <v>0</v>
      </c>
    </row>
    <row r="262" spans="1:9" ht="21" customHeight="1">
      <c r="A262" s="53" t="s">
        <v>148</v>
      </c>
      <c r="B262" s="57"/>
      <c r="C262" s="55" t="s">
        <v>27</v>
      </c>
      <c r="D262" s="56"/>
      <c r="F262" s="53" t="s">
        <v>148</v>
      </c>
      <c r="G262" s="57"/>
      <c r="H262" s="55" t="s">
        <v>27</v>
      </c>
      <c r="I262" s="56"/>
    </row>
    <row r="263" spans="1:9" ht="21" customHeight="1">
      <c r="A263" s="53" t="s">
        <v>149</v>
      </c>
      <c r="B263" s="57"/>
      <c r="C263" s="55">
        <v>211000</v>
      </c>
      <c r="D263" s="56"/>
      <c r="F263" s="53" t="s">
        <v>149</v>
      </c>
      <c r="G263" s="57"/>
      <c r="H263" s="55">
        <v>211000</v>
      </c>
      <c r="I263" s="56"/>
    </row>
    <row r="264" spans="1:9" ht="21" customHeight="1">
      <c r="A264" s="53" t="s">
        <v>150</v>
      </c>
      <c r="B264" s="57"/>
      <c r="C264" s="55">
        <v>3251539</v>
      </c>
      <c r="D264" s="56"/>
      <c r="F264" s="53" t="s">
        <v>150</v>
      </c>
      <c r="G264" s="57"/>
      <c r="H264" s="55">
        <v>3251539</v>
      </c>
      <c r="I264" s="56"/>
    </row>
    <row r="265" spans="1:9" ht="21" customHeight="1" thickBot="1">
      <c r="A265" s="59"/>
      <c r="B265" s="59"/>
      <c r="C265" s="62">
        <f>SUM(C224:C264)</f>
        <v>77379872.49</v>
      </c>
      <c r="D265" s="63">
        <f>SUM(D224:D264)</f>
        <v>77379872.49</v>
      </c>
      <c r="F265" s="59"/>
      <c r="G265" s="59"/>
      <c r="H265" s="62">
        <f>SUM(H224:H264)</f>
        <v>77379872.49</v>
      </c>
      <c r="I265" s="63">
        <f>SUM(I224:I264)</f>
        <v>77379872.49</v>
      </c>
    </row>
  </sheetData>
  <sheetProtection/>
  <mergeCells count="36">
    <mergeCell ref="A176:D176"/>
    <mergeCell ref="A177:D177"/>
    <mergeCell ref="A178:D178"/>
    <mergeCell ref="A220:D220"/>
    <mergeCell ref="A221:D221"/>
    <mergeCell ref="A222:D222"/>
    <mergeCell ref="A90:D90"/>
    <mergeCell ref="A91:D91"/>
    <mergeCell ref="A92:D92"/>
    <mergeCell ref="A134:D134"/>
    <mergeCell ref="A135:D135"/>
    <mergeCell ref="A136:D136"/>
    <mergeCell ref="A1:D1"/>
    <mergeCell ref="A2:D2"/>
    <mergeCell ref="A3:D3"/>
    <mergeCell ref="A46:D46"/>
    <mergeCell ref="A47:D47"/>
    <mergeCell ref="A48:D48"/>
    <mergeCell ref="F1:I1"/>
    <mergeCell ref="F2:I2"/>
    <mergeCell ref="F3:I3"/>
    <mergeCell ref="F46:I46"/>
    <mergeCell ref="F47:I47"/>
    <mergeCell ref="F48:I48"/>
    <mergeCell ref="F90:I90"/>
    <mergeCell ref="F91:I91"/>
    <mergeCell ref="F92:I92"/>
    <mergeCell ref="F134:I134"/>
    <mergeCell ref="F135:I135"/>
    <mergeCell ref="F136:I136"/>
    <mergeCell ref="F176:I176"/>
    <mergeCell ref="F177:I177"/>
    <mergeCell ref="F178:I178"/>
    <mergeCell ref="F220:I220"/>
    <mergeCell ref="F221:I221"/>
    <mergeCell ref="F222:I222"/>
  </mergeCells>
  <printOptions horizontalCentered="1"/>
  <pageMargins left="0.4724409448818898" right="0.1968503937007874" top="0.15748031496062992" bottom="0.1968503937007874" header="0.15748031496062992" footer="0.15748031496062992"/>
  <pageSetup horizontalDpi="600" verticalDpi="600" orientation="portrait" paperSize="9" scale="84" r:id="rId1"/>
  <rowBreaks count="5" manualBreakCount="5">
    <brk id="45" max="3" man="1"/>
    <brk id="89" max="3" man="1"/>
    <brk id="133" max="3" man="1"/>
    <brk id="175" max="3" man="1"/>
    <brk id="21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O67"/>
  <sheetViews>
    <sheetView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27.421875" style="148" customWidth="1"/>
    <col min="2" max="2" width="22.421875" style="148" customWidth="1"/>
    <col min="3" max="3" width="19.7109375" style="148" customWidth="1"/>
    <col min="4" max="4" width="19.421875" style="148" customWidth="1"/>
    <col min="5" max="5" width="25.421875" style="148" customWidth="1"/>
    <col min="6" max="6" width="27.8515625" style="148" customWidth="1"/>
    <col min="7" max="7" width="20.8515625" style="148" customWidth="1"/>
    <col min="8" max="8" width="20.140625" style="148" customWidth="1"/>
    <col min="9" max="9" width="26.00390625" style="148" customWidth="1"/>
    <col min="10" max="10" width="24.8515625" style="148" customWidth="1"/>
    <col min="11" max="11" width="3.7109375" style="177" customWidth="1"/>
    <col min="12" max="12" width="26.57421875" style="148" customWidth="1"/>
    <col min="13" max="13" width="19.421875" style="148" customWidth="1"/>
    <col min="14" max="14" width="18.421875" style="148" bestFit="1" customWidth="1"/>
    <col min="15" max="15" width="21.8515625" style="148" bestFit="1" customWidth="1"/>
    <col min="16" max="16" width="25.8515625" style="148" bestFit="1" customWidth="1"/>
    <col min="17" max="17" width="26.57421875" style="148" customWidth="1"/>
    <col min="18" max="18" width="18.421875" style="148" customWidth="1"/>
    <col min="19" max="19" width="17.421875" style="148" customWidth="1"/>
    <col min="20" max="20" width="20.7109375" style="148" customWidth="1"/>
    <col min="21" max="21" width="30.00390625" style="148" customWidth="1"/>
    <col min="22" max="22" width="25.00390625" style="148" customWidth="1"/>
    <col min="23" max="23" width="16.00390625" style="148" customWidth="1"/>
    <col min="24" max="24" width="24.421875" style="148" customWidth="1"/>
    <col min="25" max="25" width="23.421875" style="148" customWidth="1"/>
    <col min="26" max="26" width="27.00390625" style="148" customWidth="1"/>
    <col min="27" max="27" width="18.421875" style="148" customWidth="1"/>
    <col min="28" max="28" width="17.00390625" style="148" customWidth="1"/>
    <col min="29" max="29" width="21.8515625" style="148" customWidth="1"/>
    <col min="30" max="30" width="18.00390625" style="148" customWidth="1"/>
    <col min="31" max="31" width="18.57421875" style="148" customWidth="1"/>
    <col min="32" max="32" width="15.57421875" style="148" customWidth="1"/>
    <col min="33" max="33" width="31.28125" style="148" customWidth="1"/>
    <col min="34" max="34" width="23.8515625" style="148" customWidth="1"/>
    <col min="35" max="35" width="26.421875" style="148" customWidth="1"/>
    <col min="36" max="36" width="28.421875" style="148" customWidth="1"/>
    <col min="37" max="37" width="28.7109375" style="148" customWidth="1"/>
    <col min="38" max="38" width="17.8515625" style="148" customWidth="1"/>
    <col min="39" max="39" width="15.00390625" style="148" customWidth="1"/>
    <col min="40" max="40" width="22.57421875" style="148" customWidth="1"/>
    <col min="41" max="41" width="20.7109375" style="148" customWidth="1"/>
    <col min="42" max="42" width="21.140625" style="148" customWidth="1"/>
    <col min="43" max="43" width="36.28125" style="148" customWidth="1"/>
    <col min="44" max="44" width="17.00390625" style="148" bestFit="1" customWidth="1"/>
    <col min="45" max="45" width="13.57421875" style="148" bestFit="1" customWidth="1"/>
    <col min="46" max="46" width="18.28125" style="148" bestFit="1" customWidth="1"/>
    <col min="47" max="47" width="18.00390625" style="148" bestFit="1" customWidth="1"/>
    <col min="48" max="48" width="36.421875" style="148" customWidth="1"/>
    <col min="49" max="49" width="17.8515625" style="148" bestFit="1" customWidth="1"/>
    <col min="50" max="51" width="17.00390625" style="148" bestFit="1" customWidth="1"/>
    <col min="52" max="52" width="27.57421875" style="148" customWidth="1"/>
    <col min="53" max="53" width="11.7109375" style="148" customWidth="1"/>
    <col min="54" max="54" width="20.140625" style="148" customWidth="1"/>
    <col min="55" max="55" width="7.00390625" style="148" customWidth="1"/>
    <col min="56" max="56" width="13.8515625" style="148" customWidth="1"/>
    <col min="57" max="57" width="12.8515625" style="148" customWidth="1"/>
    <col min="58" max="58" width="11.28125" style="148" customWidth="1"/>
    <col min="59" max="59" width="9.00390625" style="148" customWidth="1"/>
    <col min="60" max="60" width="22.421875" style="148" customWidth="1"/>
    <col min="61" max="61" width="6.57421875" style="148" customWidth="1"/>
    <col min="62" max="16384" width="9.00390625" style="148" customWidth="1"/>
  </cols>
  <sheetData>
    <row r="1" spans="1:145" ht="18">
      <c r="A1" s="840" t="s">
        <v>30</v>
      </c>
      <c r="B1" s="840"/>
      <c r="C1" s="840"/>
      <c r="D1" s="840"/>
      <c r="E1" s="840"/>
      <c r="F1" s="840" t="s">
        <v>30</v>
      </c>
      <c r="G1" s="840"/>
      <c r="H1" s="840"/>
      <c r="I1" s="840"/>
      <c r="J1" s="840"/>
      <c r="K1" s="212"/>
      <c r="L1" s="840" t="s">
        <v>30</v>
      </c>
      <c r="M1" s="840"/>
      <c r="N1" s="840"/>
      <c r="O1" s="840"/>
      <c r="P1" s="840"/>
      <c r="Q1" s="840" t="s">
        <v>30</v>
      </c>
      <c r="R1" s="840"/>
      <c r="S1" s="840"/>
      <c r="T1" s="840"/>
      <c r="U1" s="840" t="s">
        <v>30</v>
      </c>
      <c r="V1" s="840"/>
      <c r="W1" s="840"/>
      <c r="X1" s="840"/>
      <c r="Y1" s="840"/>
      <c r="Z1" s="840" t="s">
        <v>30</v>
      </c>
      <c r="AA1" s="840"/>
      <c r="AB1" s="840"/>
      <c r="AC1" s="840"/>
      <c r="AD1" s="840"/>
      <c r="AE1" s="840"/>
      <c r="AF1" s="840"/>
      <c r="AG1" s="840" t="s">
        <v>185</v>
      </c>
      <c r="AH1" s="840"/>
      <c r="AI1" s="840"/>
      <c r="AJ1" s="840"/>
      <c r="AK1" s="840" t="s">
        <v>185</v>
      </c>
      <c r="AL1" s="840"/>
      <c r="AM1" s="840"/>
      <c r="AN1" s="840"/>
      <c r="AO1" s="840"/>
      <c r="AP1" s="840"/>
      <c r="AQ1" s="840" t="s">
        <v>30</v>
      </c>
      <c r="AR1" s="840"/>
      <c r="AS1" s="840"/>
      <c r="AT1" s="840"/>
      <c r="AU1" s="840"/>
      <c r="AV1" s="840" t="s">
        <v>268</v>
      </c>
      <c r="AW1" s="840"/>
      <c r="AX1" s="840"/>
      <c r="AY1" s="840"/>
      <c r="AZ1" s="840" t="s">
        <v>30</v>
      </c>
      <c r="BA1" s="840"/>
      <c r="BB1" s="840"/>
      <c r="BC1" s="840"/>
      <c r="BD1" s="840"/>
      <c r="BE1" s="840"/>
      <c r="BF1" s="840"/>
      <c r="BG1" s="840"/>
      <c r="BH1" s="840"/>
      <c r="BI1" s="840"/>
      <c r="BK1" s="114"/>
      <c r="BL1" s="114"/>
      <c r="BM1" s="114"/>
      <c r="BN1" s="100"/>
      <c r="BO1" s="100"/>
      <c r="BV1" s="114"/>
      <c r="BW1" s="114"/>
      <c r="BX1" s="114"/>
      <c r="BY1" s="114"/>
      <c r="BZ1" s="114"/>
      <c r="CA1" s="114"/>
      <c r="CB1" s="101"/>
      <c r="CC1" s="100"/>
      <c r="CK1" s="114"/>
      <c r="CL1" s="114"/>
      <c r="CM1" s="114"/>
      <c r="CN1" s="114"/>
      <c r="CO1" s="114"/>
      <c r="CP1" s="114"/>
      <c r="CQ1" s="114"/>
      <c r="CR1" s="100"/>
      <c r="CS1" s="100"/>
      <c r="CT1" s="100"/>
      <c r="CZ1" s="114"/>
      <c r="DA1" s="114"/>
      <c r="DB1" s="114"/>
      <c r="DC1" s="114"/>
      <c r="DD1" s="114"/>
      <c r="DE1" s="114"/>
      <c r="DF1" s="101"/>
      <c r="DG1" s="100"/>
      <c r="DH1" s="100"/>
      <c r="DO1" s="114"/>
      <c r="DP1" s="114"/>
      <c r="DQ1" s="114"/>
      <c r="DR1" s="114"/>
      <c r="DS1" s="114"/>
      <c r="DT1" s="100"/>
      <c r="DU1" s="101"/>
      <c r="DV1" s="100"/>
      <c r="DW1" s="100"/>
      <c r="ED1" s="114"/>
      <c r="EE1" s="114"/>
      <c r="EF1" s="114"/>
      <c r="EG1" s="114"/>
      <c r="EH1" s="114"/>
      <c r="EI1" s="114"/>
      <c r="EJ1" s="114"/>
      <c r="EK1" s="100"/>
      <c r="EL1" s="100"/>
      <c r="EM1" s="100"/>
      <c r="EN1" s="100"/>
      <c r="EO1" s="100"/>
    </row>
    <row r="2" spans="1:145" ht="18">
      <c r="A2" s="840" t="s">
        <v>186</v>
      </c>
      <c r="B2" s="840"/>
      <c r="C2" s="840"/>
      <c r="D2" s="840"/>
      <c r="E2" s="840"/>
      <c r="F2" s="840" t="s">
        <v>187</v>
      </c>
      <c r="G2" s="840"/>
      <c r="H2" s="840"/>
      <c r="I2" s="840"/>
      <c r="J2" s="840"/>
      <c r="K2" s="212"/>
      <c r="L2" s="840" t="s">
        <v>188</v>
      </c>
      <c r="M2" s="840"/>
      <c r="N2" s="840"/>
      <c r="O2" s="840"/>
      <c r="P2" s="840"/>
      <c r="Q2" s="840" t="s">
        <v>189</v>
      </c>
      <c r="R2" s="840"/>
      <c r="S2" s="840"/>
      <c r="T2" s="840"/>
      <c r="U2" s="840" t="s">
        <v>190</v>
      </c>
      <c r="V2" s="840"/>
      <c r="W2" s="840"/>
      <c r="X2" s="840"/>
      <c r="Y2" s="840"/>
      <c r="Z2" s="840" t="s">
        <v>191</v>
      </c>
      <c r="AA2" s="840"/>
      <c r="AB2" s="840"/>
      <c r="AC2" s="840"/>
      <c r="AD2" s="840"/>
      <c r="AE2" s="840"/>
      <c r="AF2" s="840"/>
      <c r="AG2" s="840" t="s">
        <v>192</v>
      </c>
      <c r="AH2" s="840"/>
      <c r="AI2" s="840"/>
      <c r="AJ2" s="840"/>
      <c r="AK2" s="840" t="s">
        <v>193</v>
      </c>
      <c r="AL2" s="840"/>
      <c r="AM2" s="840"/>
      <c r="AN2" s="840"/>
      <c r="AO2" s="840"/>
      <c r="AP2" s="840"/>
      <c r="AQ2" s="840" t="s">
        <v>269</v>
      </c>
      <c r="AR2" s="840"/>
      <c r="AS2" s="840"/>
      <c r="AT2" s="840"/>
      <c r="AU2" s="840"/>
      <c r="AV2" s="840" t="s">
        <v>195</v>
      </c>
      <c r="AW2" s="840"/>
      <c r="AX2" s="840"/>
      <c r="AY2" s="840"/>
      <c r="AZ2" s="840" t="s">
        <v>196</v>
      </c>
      <c r="BA2" s="840"/>
      <c r="BB2" s="840"/>
      <c r="BC2" s="840"/>
      <c r="BD2" s="840"/>
      <c r="BE2" s="840"/>
      <c r="BF2" s="840"/>
      <c r="BG2" s="840"/>
      <c r="BH2" s="840"/>
      <c r="BI2" s="840"/>
      <c r="BK2" s="114"/>
      <c r="BL2" s="114"/>
      <c r="BM2" s="114"/>
      <c r="BN2" s="100"/>
      <c r="BO2" s="100"/>
      <c r="BV2" s="114"/>
      <c r="BW2" s="114"/>
      <c r="BX2" s="114"/>
      <c r="BY2" s="114"/>
      <c r="BZ2" s="114"/>
      <c r="CA2" s="114"/>
      <c r="CB2" s="101"/>
      <c r="CC2" s="100"/>
      <c r="CK2" s="114"/>
      <c r="CL2" s="169"/>
      <c r="CM2" s="114"/>
      <c r="CN2" s="114"/>
      <c r="CO2" s="114"/>
      <c r="CP2" s="114"/>
      <c r="CQ2" s="114"/>
      <c r="CR2" s="100"/>
      <c r="CS2" s="100"/>
      <c r="CT2" s="100"/>
      <c r="CZ2" s="114"/>
      <c r="DA2" s="114"/>
      <c r="DB2" s="114"/>
      <c r="DC2" s="114"/>
      <c r="DD2" s="114"/>
      <c r="DE2" s="114"/>
      <c r="DF2" s="102"/>
      <c r="DG2" s="100"/>
      <c r="DH2" s="100"/>
      <c r="DO2" s="114"/>
      <c r="DP2" s="114"/>
      <c r="DQ2" s="114"/>
      <c r="DR2" s="114"/>
      <c r="DS2" s="114"/>
      <c r="DT2" s="100"/>
      <c r="DU2" s="101"/>
      <c r="DV2" s="100"/>
      <c r="DW2" s="100"/>
      <c r="ED2" s="114"/>
      <c r="EE2" s="114"/>
      <c r="EF2" s="114"/>
      <c r="EG2" s="114"/>
      <c r="EH2" s="114"/>
      <c r="EI2" s="114"/>
      <c r="EJ2" s="114"/>
      <c r="EK2" s="100"/>
      <c r="EL2" s="100"/>
      <c r="EM2" s="100"/>
      <c r="EN2" s="100"/>
      <c r="EO2" s="100"/>
    </row>
    <row r="3" spans="1:145" ht="18.75" thickBot="1">
      <c r="A3" s="834" t="s">
        <v>264</v>
      </c>
      <c r="B3" s="834"/>
      <c r="C3" s="834"/>
      <c r="D3" s="834"/>
      <c r="E3" s="834"/>
      <c r="F3" s="834" t="s">
        <v>264</v>
      </c>
      <c r="G3" s="834"/>
      <c r="H3" s="834"/>
      <c r="I3" s="834"/>
      <c r="J3" s="834"/>
      <c r="K3" s="213"/>
      <c r="L3" s="834" t="s">
        <v>264</v>
      </c>
      <c r="M3" s="834"/>
      <c r="N3" s="834"/>
      <c r="O3" s="834"/>
      <c r="P3" s="834"/>
      <c r="Q3" s="834" t="s">
        <v>265</v>
      </c>
      <c r="R3" s="834"/>
      <c r="S3" s="834"/>
      <c r="T3" s="834"/>
      <c r="U3" s="834" t="s">
        <v>266</v>
      </c>
      <c r="V3" s="834"/>
      <c r="W3" s="834"/>
      <c r="X3" s="834"/>
      <c r="Y3" s="834"/>
      <c r="Z3" s="834" t="s">
        <v>264</v>
      </c>
      <c r="AA3" s="834"/>
      <c r="AB3" s="834"/>
      <c r="AC3" s="834"/>
      <c r="AD3" s="834"/>
      <c r="AE3" s="834"/>
      <c r="AF3" s="834"/>
      <c r="AG3" s="834" t="s">
        <v>264</v>
      </c>
      <c r="AH3" s="834"/>
      <c r="AI3" s="834"/>
      <c r="AJ3" s="834"/>
      <c r="AK3" s="834" t="s">
        <v>264</v>
      </c>
      <c r="AL3" s="834"/>
      <c r="AM3" s="834"/>
      <c r="AN3" s="834"/>
      <c r="AO3" s="834"/>
      <c r="AP3" s="834"/>
      <c r="AQ3" s="834" t="s">
        <v>270</v>
      </c>
      <c r="AR3" s="834"/>
      <c r="AS3" s="834"/>
      <c r="AT3" s="834"/>
      <c r="AU3" s="834"/>
      <c r="AV3" s="834" t="s">
        <v>264</v>
      </c>
      <c r="AW3" s="834"/>
      <c r="AX3" s="834"/>
      <c r="AY3" s="834"/>
      <c r="AZ3" s="834" t="s">
        <v>198</v>
      </c>
      <c r="BA3" s="834"/>
      <c r="BB3" s="834"/>
      <c r="BC3" s="834"/>
      <c r="BD3" s="834"/>
      <c r="BE3" s="834"/>
      <c r="BF3" s="834"/>
      <c r="BG3" s="834"/>
      <c r="BH3" s="834"/>
      <c r="BI3" s="834"/>
      <c r="BK3" s="114"/>
      <c r="BL3" s="114"/>
      <c r="BM3" s="114"/>
      <c r="BN3" s="100"/>
      <c r="BO3" s="100"/>
      <c r="BV3" s="114"/>
      <c r="BW3" s="114"/>
      <c r="BX3" s="114"/>
      <c r="BY3" s="114"/>
      <c r="BZ3" s="114"/>
      <c r="CA3" s="114"/>
      <c r="CB3" s="101"/>
      <c r="CC3" s="100"/>
      <c r="CK3" s="114"/>
      <c r="CL3" s="114"/>
      <c r="CM3" s="114"/>
      <c r="CN3" s="114"/>
      <c r="CO3" s="114"/>
      <c r="CP3" s="114"/>
      <c r="CQ3" s="114"/>
      <c r="CR3" s="100"/>
      <c r="CS3" s="100"/>
      <c r="CT3" s="100"/>
      <c r="CZ3" s="114"/>
      <c r="DA3" s="114"/>
      <c r="DB3" s="114"/>
      <c r="DC3" s="114"/>
      <c r="DD3" s="114"/>
      <c r="DE3" s="114"/>
      <c r="DF3" s="102"/>
      <c r="DG3" s="100"/>
      <c r="DH3" s="100"/>
      <c r="DO3" s="114"/>
      <c r="DP3" s="114"/>
      <c r="DQ3" s="114"/>
      <c r="DR3" s="114"/>
      <c r="DS3" s="114"/>
      <c r="DT3" s="103"/>
      <c r="DU3" s="101"/>
      <c r="DV3" s="100"/>
      <c r="DW3" s="100"/>
      <c r="ED3" s="114"/>
      <c r="EE3" s="114"/>
      <c r="EF3" s="114"/>
      <c r="EG3" s="114"/>
      <c r="EH3" s="114"/>
      <c r="EI3" s="114"/>
      <c r="EJ3" s="114"/>
      <c r="EK3" s="100"/>
      <c r="EL3" s="100"/>
      <c r="EM3" s="100"/>
      <c r="EN3" s="100"/>
      <c r="EO3" s="100"/>
    </row>
    <row r="4" spans="1:145" s="193" customFormat="1" ht="16.5" thickBot="1">
      <c r="A4" s="181" t="s">
        <v>32</v>
      </c>
      <c r="B4" s="181" t="s">
        <v>33</v>
      </c>
      <c r="C4" s="182" t="s">
        <v>34</v>
      </c>
      <c r="D4" s="181" t="s">
        <v>199</v>
      </c>
      <c r="E4" s="183" t="s">
        <v>200</v>
      </c>
      <c r="F4" s="184" t="s">
        <v>32</v>
      </c>
      <c r="G4" s="185" t="s">
        <v>33</v>
      </c>
      <c r="H4" s="184" t="s">
        <v>34</v>
      </c>
      <c r="I4" s="184" t="s">
        <v>201</v>
      </c>
      <c r="J4" s="184" t="s">
        <v>202</v>
      </c>
      <c r="K4" s="214"/>
      <c r="L4" s="184" t="s">
        <v>32</v>
      </c>
      <c r="M4" s="185" t="s">
        <v>33</v>
      </c>
      <c r="N4" s="184" t="s">
        <v>34</v>
      </c>
      <c r="O4" s="185" t="s">
        <v>199</v>
      </c>
      <c r="P4" s="184" t="s">
        <v>203</v>
      </c>
      <c r="Q4" s="184" t="s">
        <v>32</v>
      </c>
      <c r="R4" s="185" t="s">
        <v>33</v>
      </c>
      <c r="S4" s="184" t="s">
        <v>34</v>
      </c>
      <c r="T4" s="185" t="s">
        <v>199</v>
      </c>
      <c r="U4" s="184" t="s">
        <v>32</v>
      </c>
      <c r="V4" s="185" t="s">
        <v>33</v>
      </c>
      <c r="W4" s="184" t="s">
        <v>34</v>
      </c>
      <c r="X4" s="185" t="s">
        <v>201</v>
      </c>
      <c r="Y4" s="184" t="s">
        <v>204</v>
      </c>
      <c r="Z4" s="184" t="s">
        <v>32</v>
      </c>
      <c r="AA4" s="185" t="s">
        <v>33</v>
      </c>
      <c r="AB4" s="184" t="s">
        <v>34</v>
      </c>
      <c r="AC4" s="185" t="s">
        <v>199</v>
      </c>
      <c r="AD4" s="184" t="s">
        <v>205</v>
      </c>
      <c r="AE4" s="184" t="s">
        <v>206</v>
      </c>
      <c r="AF4" s="186" t="s">
        <v>207</v>
      </c>
      <c r="AG4" s="184" t="s">
        <v>32</v>
      </c>
      <c r="AH4" s="185" t="s">
        <v>33</v>
      </c>
      <c r="AI4" s="184" t="s">
        <v>34</v>
      </c>
      <c r="AJ4" s="184" t="s">
        <v>208</v>
      </c>
      <c r="AK4" s="184" t="s">
        <v>32</v>
      </c>
      <c r="AL4" s="185" t="s">
        <v>33</v>
      </c>
      <c r="AM4" s="184" t="s">
        <v>34</v>
      </c>
      <c r="AN4" s="185" t="s">
        <v>199</v>
      </c>
      <c r="AO4" s="184" t="s">
        <v>209</v>
      </c>
      <c r="AP4" s="187" t="s">
        <v>210</v>
      </c>
      <c r="AQ4" s="184" t="s">
        <v>32</v>
      </c>
      <c r="AR4" s="185" t="s">
        <v>33</v>
      </c>
      <c r="AS4" s="184" t="s">
        <v>34</v>
      </c>
      <c r="AT4" s="185" t="s">
        <v>211</v>
      </c>
      <c r="AU4" s="184" t="s">
        <v>212</v>
      </c>
      <c r="AV4" s="184" t="s">
        <v>32</v>
      </c>
      <c r="AW4" s="185" t="s">
        <v>33</v>
      </c>
      <c r="AX4" s="184" t="s">
        <v>34</v>
      </c>
      <c r="AY4" s="184" t="s">
        <v>2</v>
      </c>
      <c r="AZ4" s="184" t="s">
        <v>213</v>
      </c>
      <c r="BA4" s="184" t="s">
        <v>34</v>
      </c>
      <c r="BB4" s="182" t="s">
        <v>214</v>
      </c>
      <c r="BC4" s="183"/>
      <c r="BD4" s="188" t="s">
        <v>215</v>
      </c>
      <c r="BE4" s="189"/>
      <c r="BF4" s="190" t="s">
        <v>216</v>
      </c>
      <c r="BG4" s="191"/>
      <c r="BH4" s="192" t="s">
        <v>217</v>
      </c>
      <c r="BI4" s="191"/>
      <c r="BK4" s="194"/>
      <c r="BL4" s="194"/>
      <c r="BM4" s="194"/>
      <c r="BN4" s="195"/>
      <c r="BO4" s="196"/>
      <c r="BV4" s="194"/>
      <c r="BW4" s="194"/>
      <c r="BX4" s="194"/>
      <c r="BY4" s="194"/>
      <c r="BZ4" s="194"/>
      <c r="CA4" s="194"/>
      <c r="CB4" s="197"/>
      <c r="CC4" s="196"/>
      <c r="CK4" s="194"/>
      <c r="CL4" s="194"/>
      <c r="CM4" s="194"/>
      <c r="CN4" s="194"/>
      <c r="CO4" s="194"/>
      <c r="CP4" s="194"/>
      <c r="CQ4" s="194"/>
      <c r="CR4" s="196"/>
      <c r="CS4" s="196"/>
      <c r="CT4" s="196"/>
      <c r="CZ4" s="194"/>
      <c r="DA4" s="194"/>
      <c r="DB4" s="194"/>
      <c r="DC4" s="194"/>
      <c r="DD4" s="194"/>
      <c r="DE4" s="194"/>
      <c r="DF4" s="198"/>
      <c r="DG4" s="196"/>
      <c r="DH4" s="196"/>
      <c r="DO4" s="194"/>
      <c r="DP4" s="194"/>
      <c r="DQ4" s="194"/>
      <c r="DR4" s="194"/>
      <c r="DS4" s="194"/>
      <c r="DT4" s="199"/>
      <c r="DU4" s="197"/>
      <c r="DV4" s="196"/>
      <c r="DW4" s="196"/>
      <c r="ED4" s="194"/>
      <c r="EE4" s="194"/>
      <c r="EF4" s="194"/>
      <c r="EG4" s="194"/>
      <c r="EH4" s="200"/>
      <c r="EI4" s="201"/>
      <c r="EJ4" s="201"/>
      <c r="EK4" s="195"/>
      <c r="EL4" s="195"/>
      <c r="EM4" s="195"/>
      <c r="EN4" s="196"/>
      <c r="EO4" s="196"/>
    </row>
    <row r="5" spans="1:145" s="193" customFormat="1" ht="16.5" thickBot="1">
      <c r="A5" s="202" t="s">
        <v>218</v>
      </c>
      <c r="B5" s="203"/>
      <c r="C5" s="197"/>
      <c r="D5" s="203"/>
      <c r="E5" s="204"/>
      <c r="F5" s="205"/>
      <c r="G5" s="206"/>
      <c r="H5" s="205"/>
      <c r="I5" s="205" t="s">
        <v>219</v>
      </c>
      <c r="J5" s="205" t="s">
        <v>220</v>
      </c>
      <c r="K5" s="215"/>
      <c r="L5" s="205"/>
      <c r="M5" s="206"/>
      <c r="N5" s="205"/>
      <c r="O5" s="206" t="s">
        <v>221</v>
      </c>
      <c r="P5" s="205" t="s">
        <v>222</v>
      </c>
      <c r="Q5" s="205"/>
      <c r="R5" s="206"/>
      <c r="S5" s="205"/>
      <c r="T5" s="206" t="s">
        <v>7</v>
      </c>
      <c r="U5" s="205"/>
      <c r="V5" s="206"/>
      <c r="W5" s="205"/>
      <c r="X5" s="206" t="s">
        <v>0</v>
      </c>
      <c r="Y5" s="205" t="s">
        <v>0</v>
      </c>
      <c r="Z5" s="205"/>
      <c r="AA5" s="206"/>
      <c r="AB5" s="205"/>
      <c r="AC5" s="206" t="s">
        <v>267</v>
      </c>
      <c r="AD5" s="205"/>
      <c r="AE5" s="205" t="s">
        <v>223</v>
      </c>
      <c r="AF5" s="207"/>
      <c r="AG5" s="205"/>
      <c r="AH5" s="206"/>
      <c r="AI5" s="205"/>
      <c r="AJ5" s="205" t="s">
        <v>224</v>
      </c>
      <c r="AK5" s="205"/>
      <c r="AL5" s="206"/>
      <c r="AM5" s="205"/>
      <c r="AN5" s="206" t="s">
        <v>225</v>
      </c>
      <c r="AO5" s="205" t="s">
        <v>9</v>
      </c>
      <c r="AP5" s="208" t="s">
        <v>226</v>
      </c>
      <c r="AQ5" s="205"/>
      <c r="AR5" s="206"/>
      <c r="AS5" s="205"/>
      <c r="AT5" s="206"/>
      <c r="AU5" s="205"/>
      <c r="AV5" s="205"/>
      <c r="AW5" s="206"/>
      <c r="AX5" s="205"/>
      <c r="AY5" s="205"/>
      <c r="AZ5" s="205"/>
      <c r="BA5" s="205"/>
      <c r="BB5" s="182" t="s">
        <v>227</v>
      </c>
      <c r="BC5" s="181" t="s">
        <v>3</v>
      </c>
      <c r="BD5" s="183" t="s">
        <v>228</v>
      </c>
      <c r="BE5" s="181" t="s">
        <v>199</v>
      </c>
      <c r="BF5" s="205" t="s">
        <v>229</v>
      </c>
      <c r="BG5" s="209" t="s">
        <v>3</v>
      </c>
      <c r="BH5" s="210" t="s">
        <v>230</v>
      </c>
      <c r="BI5" s="209" t="s">
        <v>3</v>
      </c>
      <c r="BK5" s="194"/>
      <c r="BL5" s="194"/>
      <c r="BM5" s="194"/>
      <c r="BN5" s="195"/>
      <c r="BO5" s="196"/>
      <c r="BV5" s="194"/>
      <c r="BW5" s="194"/>
      <c r="BX5" s="194"/>
      <c r="BY5" s="194"/>
      <c r="BZ5" s="194"/>
      <c r="CA5" s="194"/>
      <c r="CB5" s="197"/>
      <c r="CC5" s="196"/>
      <c r="CK5" s="194"/>
      <c r="CL5" s="194"/>
      <c r="CM5" s="194"/>
      <c r="CN5" s="194"/>
      <c r="CO5" s="194"/>
      <c r="CP5" s="194"/>
      <c r="CQ5" s="194"/>
      <c r="CR5" s="196"/>
      <c r="CS5" s="196"/>
      <c r="CT5" s="196"/>
      <c r="CZ5" s="194"/>
      <c r="DA5" s="194"/>
      <c r="DB5" s="194"/>
      <c r="DC5" s="194"/>
      <c r="DD5" s="194"/>
      <c r="DE5" s="194"/>
      <c r="DF5" s="197"/>
      <c r="DG5" s="196"/>
      <c r="DH5" s="196"/>
      <c r="DO5" s="194"/>
      <c r="DP5" s="194"/>
      <c r="DQ5" s="194"/>
      <c r="DR5" s="194"/>
      <c r="DS5" s="194"/>
      <c r="DT5" s="199"/>
      <c r="DU5" s="197"/>
      <c r="DV5" s="196"/>
      <c r="DW5" s="196"/>
      <c r="ED5" s="194"/>
      <c r="EE5" s="194"/>
      <c r="EF5" s="194"/>
      <c r="EG5" s="194"/>
      <c r="EH5" s="194"/>
      <c r="EI5" s="194"/>
      <c r="EJ5" s="194"/>
      <c r="EK5" s="211"/>
      <c r="EL5" s="201"/>
      <c r="EM5" s="211"/>
      <c r="EN5" s="196"/>
      <c r="EO5" s="196"/>
    </row>
    <row r="6" spans="1:145" ht="18">
      <c r="A6" s="122" t="s">
        <v>231</v>
      </c>
      <c r="B6" s="116" t="e">
        <f>+#REF!+#REF!</f>
        <v>#REF!</v>
      </c>
      <c r="C6" s="101" t="s">
        <v>532</v>
      </c>
      <c r="D6" s="116"/>
      <c r="E6" s="117"/>
      <c r="F6" s="115" t="s">
        <v>218</v>
      </c>
      <c r="G6" s="116"/>
      <c r="H6" s="101"/>
      <c r="I6" s="116"/>
      <c r="J6" s="116"/>
      <c r="K6" s="216"/>
      <c r="L6" s="115" t="s">
        <v>218</v>
      </c>
      <c r="M6" s="116"/>
      <c r="N6" s="101"/>
      <c r="O6" s="116"/>
      <c r="P6" s="116"/>
      <c r="Q6" s="115" t="s">
        <v>218</v>
      </c>
      <c r="R6" s="116"/>
      <c r="S6" s="101"/>
      <c r="T6" s="116"/>
      <c r="U6" s="115" t="s">
        <v>218</v>
      </c>
      <c r="V6" s="116"/>
      <c r="W6" s="101"/>
      <c r="X6" s="116"/>
      <c r="Y6" s="116"/>
      <c r="Z6" s="115" t="s">
        <v>218</v>
      </c>
      <c r="AA6" s="116"/>
      <c r="AB6" s="101"/>
      <c r="AC6" s="116"/>
      <c r="AD6" s="116"/>
      <c r="AE6" s="116"/>
      <c r="AF6" s="122"/>
      <c r="AG6" s="115" t="s">
        <v>218</v>
      </c>
      <c r="AH6" s="116"/>
      <c r="AI6" s="101"/>
      <c r="AJ6" s="116"/>
      <c r="AK6" s="115" t="s">
        <v>218</v>
      </c>
      <c r="AL6" s="116"/>
      <c r="AM6" s="101"/>
      <c r="AN6" s="116"/>
      <c r="AO6" s="116"/>
      <c r="AP6" s="117"/>
      <c r="AQ6" s="115" t="s">
        <v>218</v>
      </c>
      <c r="AR6" s="116"/>
      <c r="AS6" s="101"/>
      <c r="AT6" s="116"/>
      <c r="AU6" s="116"/>
      <c r="AV6" s="115" t="s">
        <v>218</v>
      </c>
      <c r="AW6" s="116"/>
      <c r="AX6" s="101"/>
      <c r="AY6" s="116"/>
      <c r="AZ6" s="115" t="s">
        <v>218</v>
      </c>
      <c r="BA6" s="123"/>
      <c r="BB6" s="101"/>
      <c r="BC6" s="116"/>
      <c r="BD6" s="101"/>
      <c r="BE6" s="104"/>
      <c r="BF6" s="113"/>
      <c r="BG6" s="124"/>
      <c r="BH6" s="125"/>
      <c r="BI6" s="124"/>
      <c r="BK6" s="101"/>
      <c r="BL6" s="101"/>
      <c r="BM6" s="101"/>
      <c r="BN6" s="100"/>
      <c r="BO6" s="100"/>
      <c r="BV6" s="126"/>
      <c r="BW6" s="101"/>
      <c r="BX6" s="101"/>
      <c r="BY6" s="101"/>
      <c r="BZ6" s="101"/>
      <c r="CA6" s="101"/>
      <c r="CB6" s="101"/>
      <c r="CC6" s="100"/>
      <c r="CK6" s="126"/>
      <c r="CL6" s="101"/>
      <c r="CM6" s="101"/>
      <c r="CN6" s="101"/>
      <c r="CO6" s="101"/>
      <c r="CP6" s="101"/>
      <c r="CQ6" s="101"/>
      <c r="CR6" s="100"/>
      <c r="CS6" s="100"/>
      <c r="CT6" s="100"/>
      <c r="CZ6" s="126"/>
      <c r="DA6" s="101"/>
      <c r="DB6" s="101"/>
      <c r="DC6" s="101"/>
      <c r="DD6" s="101"/>
      <c r="DE6" s="101"/>
      <c r="DF6" s="101"/>
      <c r="DG6" s="100"/>
      <c r="DH6" s="100"/>
      <c r="DO6" s="126"/>
      <c r="DP6" s="101"/>
      <c r="DQ6" s="101"/>
      <c r="DR6" s="101"/>
      <c r="DS6" s="101"/>
      <c r="DT6" s="112"/>
      <c r="DU6" s="101"/>
      <c r="DV6" s="100"/>
      <c r="DW6" s="100"/>
      <c r="ED6" s="126"/>
      <c r="EE6" s="101"/>
      <c r="EF6" s="101"/>
      <c r="EG6" s="101"/>
      <c r="EH6" s="101"/>
      <c r="EI6" s="113"/>
      <c r="EJ6" s="113"/>
      <c r="EK6" s="100"/>
      <c r="EL6" s="127"/>
      <c r="EM6" s="100"/>
      <c r="EN6" s="100"/>
      <c r="EO6" s="100"/>
    </row>
    <row r="7" spans="1:145" ht="18">
      <c r="A7" s="122" t="s">
        <v>232</v>
      </c>
      <c r="B7" s="116" t="e">
        <f>+#REF!</f>
        <v>#REF!</v>
      </c>
      <c r="C7" s="101"/>
      <c r="D7" s="128"/>
      <c r="E7" s="129"/>
      <c r="F7" s="122" t="s">
        <v>231</v>
      </c>
      <c r="G7" s="116" t="e">
        <f>+#REF!</f>
        <v>#REF!</v>
      </c>
      <c r="H7" s="101">
        <f>+I7+J7</f>
        <v>0</v>
      </c>
      <c r="I7" s="128"/>
      <c r="J7" s="116"/>
      <c r="K7" s="216"/>
      <c r="L7" s="122" t="s">
        <v>231</v>
      </c>
      <c r="M7" s="116" t="e">
        <f>+#REF!</f>
        <v>#REF!</v>
      </c>
      <c r="N7" s="101">
        <f>+O7+P7</f>
        <v>0</v>
      </c>
      <c r="O7" s="116"/>
      <c r="P7" s="116"/>
      <c r="Q7" s="122" t="s">
        <v>231</v>
      </c>
      <c r="R7" s="116" t="e">
        <f>+#REF!</f>
        <v>#REF!</v>
      </c>
      <c r="S7" s="116">
        <f>+T7</f>
        <v>0</v>
      </c>
      <c r="T7" s="116"/>
      <c r="U7" s="122" t="s">
        <v>231</v>
      </c>
      <c r="V7" s="116" t="e">
        <f>+#REF!+#REF!</f>
        <v>#REF!</v>
      </c>
      <c r="W7" s="101">
        <f>+X7+Y7</f>
        <v>0</v>
      </c>
      <c r="X7" s="116"/>
      <c r="Y7" s="116"/>
      <c r="Z7" s="122" t="s">
        <v>231</v>
      </c>
      <c r="AA7" s="116" t="e">
        <f>+#REF!</f>
        <v>#REF!</v>
      </c>
      <c r="AB7" s="101">
        <f>+AC7+AD7+AE7+AF7</f>
        <v>0</v>
      </c>
      <c r="AC7" s="116"/>
      <c r="AD7" s="116"/>
      <c r="AE7" s="116"/>
      <c r="AF7" s="122"/>
      <c r="AG7" s="122" t="s">
        <v>231</v>
      </c>
      <c r="AH7" s="116"/>
      <c r="AI7" s="101"/>
      <c r="AJ7" s="116">
        <v>0</v>
      </c>
      <c r="AK7" s="122" t="s">
        <v>231</v>
      </c>
      <c r="AL7" s="116"/>
      <c r="AM7" s="101"/>
      <c r="AN7" s="116"/>
      <c r="AO7" s="116"/>
      <c r="AP7" s="117"/>
      <c r="AQ7" s="122" t="s">
        <v>231</v>
      </c>
      <c r="AR7" s="116" t="e">
        <f>+#REF!</f>
        <v>#REF!</v>
      </c>
      <c r="AS7" s="101"/>
      <c r="AT7" s="116"/>
      <c r="AU7" s="116"/>
      <c r="AV7" s="122" t="s">
        <v>231</v>
      </c>
      <c r="AW7" s="116">
        <v>0</v>
      </c>
      <c r="AX7" s="101">
        <v>0</v>
      </c>
      <c r="AY7" s="116">
        <v>0</v>
      </c>
      <c r="AZ7" s="122" t="s">
        <v>231</v>
      </c>
      <c r="BA7" s="116"/>
      <c r="BB7" s="101"/>
      <c r="BC7" s="116"/>
      <c r="BD7" s="101"/>
      <c r="BE7" s="116"/>
      <c r="BF7" s="101"/>
      <c r="BG7" s="122"/>
      <c r="BH7" s="125"/>
      <c r="BI7" s="122"/>
      <c r="BK7" s="101"/>
      <c r="BL7" s="101"/>
      <c r="BM7" s="101"/>
      <c r="BN7" s="100"/>
      <c r="BO7" s="100"/>
      <c r="BV7" s="100"/>
      <c r="BW7" s="101"/>
      <c r="BX7" s="101"/>
      <c r="BY7" s="101"/>
      <c r="BZ7" s="101"/>
      <c r="CA7" s="101"/>
      <c r="CB7" s="101"/>
      <c r="CC7" s="100"/>
      <c r="CK7" s="100"/>
      <c r="CL7" s="101"/>
      <c r="CM7" s="101"/>
      <c r="CN7" s="101"/>
      <c r="CO7" s="101"/>
      <c r="CP7" s="101"/>
      <c r="CQ7" s="101"/>
      <c r="CR7" s="100"/>
      <c r="CS7" s="100"/>
      <c r="CT7" s="100"/>
      <c r="CZ7" s="100"/>
      <c r="DA7" s="101"/>
      <c r="DB7" s="101"/>
      <c r="DC7" s="101"/>
      <c r="DD7" s="101"/>
      <c r="DE7" s="101"/>
      <c r="DF7" s="103"/>
      <c r="DG7" s="100"/>
      <c r="DH7" s="100"/>
      <c r="DO7" s="100"/>
      <c r="DP7" s="101"/>
      <c r="DQ7" s="101"/>
      <c r="DR7" s="101"/>
      <c r="DS7" s="101"/>
      <c r="DT7" s="112"/>
      <c r="DU7" s="101"/>
      <c r="DV7" s="100"/>
      <c r="DW7" s="100"/>
      <c r="ED7" s="100"/>
      <c r="EE7" s="101"/>
      <c r="EF7" s="101"/>
      <c r="EG7" s="101"/>
      <c r="EH7" s="101"/>
      <c r="EI7" s="101"/>
      <c r="EJ7" s="101"/>
      <c r="EK7" s="100"/>
      <c r="EL7" s="127"/>
      <c r="EM7" s="100"/>
      <c r="EN7" s="100"/>
      <c r="EO7" s="100"/>
    </row>
    <row r="8" spans="1:145" ht="18">
      <c r="A8" s="122" t="s">
        <v>233</v>
      </c>
      <c r="B8" s="116" t="e">
        <f>+#REF!+#REF!</f>
        <v>#REF!</v>
      </c>
      <c r="C8" s="101"/>
      <c r="D8" s="128"/>
      <c r="E8" s="129"/>
      <c r="F8" s="122" t="s">
        <v>232</v>
      </c>
      <c r="G8" s="116" t="s">
        <v>27</v>
      </c>
      <c r="H8" s="101">
        <f aca="true" t="shared" si="0" ref="H8:H18">+I8+J8</f>
        <v>0</v>
      </c>
      <c r="I8" s="128"/>
      <c r="J8" s="128"/>
      <c r="K8" s="217"/>
      <c r="L8" s="122" t="s">
        <v>232</v>
      </c>
      <c r="M8" s="116" t="s">
        <v>27</v>
      </c>
      <c r="N8" s="101">
        <f aca="true" t="shared" si="1" ref="N8:N18">+O8+P8</f>
        <v>0</v>
      </c>
      <c r="O8" s="128"/>
      <c r="P8" s="128"/>
      <c r="Q8" s="122" t="s">
        <v>232</v>
      </c>
      <c r="R8" s="116" t="s">
        <v>27</v>
      </c>
      <c r="S8" s="116">
        <f aca="true" t="shared" si="2" ref="S8:S17">+T8</f>
        <v>0</v>
      </c>
      <c r="T8" s="128"/>
      <c r="U8" s="122" t="s">
        <v>232</v>
      </c>
      <c r="V8" s="116">
        <v>0</v>
      </c>
      <c r="W8" s="101">
        <f aca="true" t="shared" si="3" ref="W8:W18">+X8+Y8</f>
        <v>0</v>
      </c>
      <c r="X8" s="128"/>
      <c r="Y8" s="128"/>
      <c r="Z8" s="122" t="s">
        <v>232</v>
      </c>
      <c r="AA8" s="116" t="s">
        <v>27</v>
      </c>
      <c r="AB8" s="101">
        <f aca="true" t="shared" si="4" ref="AB8:AB18">+AC8+AD8+AE8+AF8</f>
        <v>0</v>
      </c>
      <c r="AC8" s="128"/>
      <c r="AD8" s="128"/>
      <c r="AE8" s="116"/>
      <c r="AF8" s="122"/>
      <c r="AG8" s="122" t="s">
        <v>232</v>
      </c>
      <c r="AH8" s="116"/>
      <c r="AI8" s="101"/>
      <c r="AJ8" s="128">
        <v>0</v>
      </c>
      <c r="AK8" s="122" t="s">
        <v>232</v>
      </c>
      <c r="AL8" s="116"/>
      <c r="AM8" s="101"/>
      <c r="AN8" s="128"/>
      <c r="AO8" s="128"/>
      <c r="AP8" s="129"/>
      <c r="AQ8" s="122" t="s">
        <v>232</v>
      </c>
      <c r="AR8" s="116" t="s">
        <v>27</v>
      </c>
      <c r="AS8" s="101"/>
      <c r="AT8" s="128"/>
      <c r="AU8" s="128"/>
      <c r="AV8" s="122" t="s">
        <v>232</v>
      </c>
      <c r="AW8" s="116">
        <v>0</v>
      </c>
      <c r="AX8" s="101">
        <v>0</v>
      </c>
      <c r="AY8" s="128">
        <v>0</v>
      </c>
      <c r="AZ8" s="122" t="s">
        <v>232</v>
      </c>
      <c r="BA8" s="116"/>
      <c r="BB8" s="101"/>
      <c r="BC8" s="128"/>
      <c r="BD8" s="112"/>
      <c r="BE8" s="116"/>
      <c r="BF8" s="101"/>
      <c r="BG8" s="122"/>
      <c r="BH8" s="125"/>
      <c r="BI8" s="122"/>
      <c r="BK8" s="112"/>
      <c r="BL8" s="112"/>
      <c r="BM8" s="101"/>
      <c r="BN8" s="100"/>
      <c r="BO8" s="100"/>
      <c r="BV8" s="100"/>
      <c r="BW8" s="101"/>
      <c r="BX8" s="101"/>
      <c r="BY8" s="112"/>
      <c r="BZ8" s="112"/>
      <c r="CA8" s="112"/>
      <c r="CB8" s="101"/>
      <c r="CC8" s="100"/>
      <c r="CK8" s="100"/>
      <c r="CL8" s="101"/>
      <c r="CM8" s="101"/>
      <c r="CN8" s="112"/>
      <c r="CO8" s="112"/>
      <c r="CP8" s="112"/>
      <c r="CQ8" s="101"/>
      <c r="CR8" s="100"/>
      <c r="CS8" s="100"/>
      <c r="CT8" s="100"/>
      <c r="CZ8" s="100"/>
      <c r="DA8" s="101"/>
      <c r="DB8" s="101"/>
      <c r="DC8" s="112"/>
      <c r="DD8" s="112"/>
      <c r="DE8" s="112"/>
      <c r="DF8" s="101"/>
      <c r="DG8" s="100"/>
      <c r="DH8" s="100"/>
      <c r="DO8" s="100"/>
      <c r="DP8" s="101"/>
      <c r="DQ8" s="101"/>
      <c r="DR8" s="112"/>
      <c r="DS8" s="112"/>
      <c r="DT8" s="112"/>
      <c r="DU8" s="112"/>
      <c r="DV8" s="100"/>
      <c r="DW8" s="100"/>
      <c r="ED8" s="100"/>
      <c r="EE8" s="101"/>
      <c r="EF8" s="101"/>
      <c r="EG8" s="112"/>
      <c r="EH8" s="112"/>
      <c r="EI8" s="101"/>
      <c r="EJ8" s="101"/>
      <c r="EK8" s="100"/>
      <c r="EL8" s="127"/>
      <c r="EM8" s="100"/>
      <c r="EN8" s="100"/>
      <c r="EO8" s="100"/>
    </row>
    <row r="9" spans="1:145" ht="18">
      <c r="A9" s="130" t="s">
        <v>234</v>
      </c>
      <c r="B9" s="116" t="e">
        <f>+#REF!+#REF!</f>
        <v>#REF!</v>
      </c>
      <c r="C9" s="112"/>
      <c r="D9" s="128"/>
      <c r="E9" s="129"/>
      <c r="F9" s="122" t="s">
        <v>233</v>
      </c>
      <c r="G9" s="116" t="e">
        <f>+#REF!</f>
        <v>#REF!</v>
      </c>
      <c r="H9" s="101">
        <f t="shared" si="0"/>
        <v>0</v>
      </c>
      <c r="I9" s="128"/>
      <c r="J9" s="128"/>
      <c r="K9" s="217"/>
      <c r="L9" s="122" t="s">
        <v>233</v>
      </c>
      <c r="M9" s="116" t="e">
        <f>+#REF!</f>
        <v>#REF!</v>
      </c>
      <c r="N9" s="101">
        <f t="shared" si="1"/>
        <v>0</v>
      </c>
      <c r="O9" s="128"/>
      <c r="P9" s="128"/>
      <c r="Q9" s="122" t="s">
        <v>233</v>
      </c>
      <c r="R9" s="116" t="e">
        <f>+#REF!</f>
        <v>#REF!</v>
      </c>
      <c r="S9" s="116">
        <f t="shared" si="2"/>
        <v>0</v>
      </c>
      <c r="T9" s="128"/>
      <c r="U9" s="122" t="s">
        <v>233</v>
      </c>
      <c r="V9" s="116" t="e">
        <f>+#REF!+#REF!</f>
        <v>#REF!</v>
      </c>
      <c r="W9" s="101">
        <f t="shared" si="3"/>
        <v>0</v>
      </c>
      <c r="X9" s="128"/>
      <c r="Y9" s="128"/>
      <c r="Z9" s="122" t="s">
        <v>233</v>
      </c>
      <c r="AA9" s="116" t="e">
        <f>+#REF!</f>
        <v>#REF!</v>
      </c>
      <c r="AB9" s="101">
        <f t="shared" si="4"/>
        <v>0</v>
      </c>
      <c r="AC9" s="128"/>
      <c r="AD9" s="128"/>
      <c r="AE9" s="116"/>
      <c r="AF9" s="122"/>
      <c r="AG9" s="122" t="s">
        <v>233</v>
      </c>
      <c r="AH9" s="116"/>
      <c r="AI9" s="101"/>
      <c r="AJ9" s="128"/>
      <c r="AK9" s="122" t="s">
        <v>233</v>
      </c>
      <c r="AL9" s="116"/>
      <c r="AM9" s="101"/>
      <c r="AN9" s="128"/>
      <c r="AO9" s="128"/>
      <c r="AP9" s="129"/>
      <c r="AQ9" s="122" t="s">
        <v>233</v>
      </c>
      <c r="AR9" s="116" t="e">
        <f>+#REF!</f>
        <v>#REF!</v>
      </c>
      <c r="AS9" s="101"/>
      <c r="AT9" s="128"/>
      <c r="AU9" s="128"/>
      <c r="AV9" s="122" t="s">
        <v>233</v>
      </c>
      <c r="AW9" s="116">
        <v>0</v>
      </c>
      <c r="AX9" s="101">
        <v>0</v>
      </c>
      <c r="AY9" s="128">
        <v>0</v>
      </c>
      <c r="AZ9" s="122" t="s">
        <v>233</v>
      </c>
      <c r="BA9" s="116"/>
      <c r="BB9" s="101"/>
      <c r="BC9" s="128"/>
      <c r="BD9" s="112"/>
      <c r="BE9" s="128"/>
      <c r="BF9" s="101"/>
      <c r="BG9" s="122"/>
      <c r="BH9" s="125"/>
      <c r="BI9" s="122"/>
      <c r="BK9" s="112"/>
      <c r="BL9" s="112"/>
      <c r="BM9" s="101"/>
      <c r="BN9" s="100"/>
      <c r="BO9" s="100"/>
      <c r="BV9" s="100"/>
      <c r="BW9" s="101"/>
      <c r="BX9" s="101"/>
      <c r="BY9" s="112"/>
      <c r="BZ9" s="112"/>
      <c r="CA9" s="112"/>
      <c r="CB9" s="101"/>
      <c r="CC9" s="100"/>
      <c r="CK9" s="100"/>
      <c r="CL9" s="101"/>
      <c r="CM9" s="101"/>
      <c r="CN9" s="112"/>
      <c r="CO9" s="112"/>
      <c r="CP9" s="112"/>
      <c r="CQ9" s="101"/>
      <c r="CR9" s="100"/>
      <c r="CS9" s="100"/>
      <c r="CT9" s="100"/>
      <c r="CZ9" s="100"/>
      <c r="DA9" s="101"/>
      <c r="DB9" s="101"/>
      <c r="DC9" s="112"/>
      <c r="DD9" s="112"/>
      <c r="DE9" s="112"/>
      <c r="DF9" s="100"/>
      <c r="DG9" s="100"/>
      <c r="DH9" s="100"/>
      <c r="DO9" s="100"/>
      <c r="DP9" s="101"/>
      <c r="DQ9" s="101"/>
      <c r="DR9" s="112"/>
      <c r="DS9" s="112"/>
      <c r="DT9" s="112"/>
      <c r="DU9" s="131"/>
      <c r="DV9" s="100"/>
      <c r="DW9" s="100"/>
      <c r="ED9" s="100"/>
      <c r="EE9" s="101"/>
      <c r="EF9" s="101"/>
      <c r="EG9" s="112"/>
      <c r="EH9" s="112"/>
      <c r="EI9" s="112"/>
      <c r="EJ9" s="101"/>
      <c r="EK9" s="100"/>
      <c r="EL9" s="127"/>
      <c r="EM9" s="100"/>
      <c r="EN9" s="100"/>
      <c r="EO9" s="100"/>
    </row>
    <row r="10" spans="1:145" ht="18">
      <c r="A10" s="130" t="s">
        <v>235</v>
      </c>
      <c r="B10" s="116" t="e">
        <f>+#REF!+#REF!</f>
        <v>#REF!</v>
      </c>
      <c r="C10" s="101"/>
      <c r="D10" s="128"/>
      <c r="E10" s="129"/>
      <c r="F10" s="130" t="s">
        <v>234</v>
      </c>
      <c r="G10" s="116" t="s">
        <v>27</v>
      </c>
      <c r="H10" s="101">
        <f t="shared" si="0"/>
        <v>0</v>
      </c>
      <c r="I10" s="128"/>
      <c r="J10" s="128"/>
      <c r="K10" s="217"/>
      <c r="L10" s="130" t="s">
        <v>234</v>
      </c>
      <c r="M10" s="116" t="e">
        <f>+#REF!</f>
        <v>#REF!</v>
      </c>
      <c r="N10" s="101">
        <f t="shared" si="1"/>
        <v>0</v>
      </c>
      <c r="O10" s="128"/>
      <c r="P10" s="128"/>
      <c r="Q10" s="130" t="s">
        <v>234</v>
      </c>
      <c r="R10" s="116" t="e">
        <f>+#REF!</f>
        <v>#REF!</v>
      </c>
      <c r="S10" s="116">
        <f t="shared" si="2"/>
        <v>0</v>
      </c>
      <c r="T10" s="128"/>
      <c r="U10" s="130" t="s">
        <v>234</v>
      </c>
      <c r="V10" s="116" t="e">
        <f>+#REF!+#REF!</f>
        <v>#REF!</v>
      </c>
      <c r="W10" s="101">
        <f t="shared" si="3"/>
        <v>0</v>
      </c>
      <c r="X10" s="128"/>
      <c r="Y10" s="128"/>
      <c r="Z10" s="130" t="s">
        <v>234</v>
      </c>
      <c r="AA10" s="116" t="e">
        <f>+#REF!</f>
        <v>#REF!</v>
      </c>
      <c r="AB10" s="101">
        <f t="shared" si="4"/>
        <v>0</v>
      </c>
      <c r="AC10" s="128"/>
      <c r="AD10" s="128"/>
      <c r="AE10" s="116"/>
      <c r="AF10" s="122"/>
      <c r="AG10" s="130" t="s">
        <v>234</v>
      </c>
      <c r="AH10" s="116"/>
      <c r="AI10" s="112"/>
      <c r="AJ10" s="128"/>
      <c r="AK10" s="130" t="s">
        <v>234</v>
      </c>
      <c r="AL10" s="116"/>
      <c r="AM10" s="112"/>
      <c r="AN10" s="128"/>
      <c r="AO10" s="128"/>
      <c r="AP10" s="129"/>
      <c r="AQ10" s="130" t="s">
        <v>234</v>
      </c>
      <c r="AR10" s="116" t="e">
        <f>+#REF!</f>
        <v>#REF!</v>
      </c>
      <c r="AS10" s="112"/>
      <c r="AT10" s="128"/>
      <c r="AU10" s="128"/>
      <c r="AV10" s="130" t="s">
        <v>234</v>
      </c>
      <c r="AW10" s="116">
        <v>0</v>
      </c>
      <c r="AX10" s="112">
        <v>0</v>
      </c>
      <c r="AY10" s="128">
        <v>0</v>
      </c>
      <c r="AZ10" s="130" t="s">
        <v>234</v>
      </c>
      <c r="BA10" s="128">
        <v>0</v>
      </c>
      <c r="BB10" s="112"/>
      <c r="BC10" s="128"/>
      <c r="BD10" s="112"/>
      <c r="BE10" s="128">
        <v>0</v>
      </c>
      <c r="BF10" s="101"/>
      <c r="BG10" s="122"/>
      <c r="BH10" s="125"/>
      <c r="BI10" s="122"/>
      <c r="BK10" s="112"/>
      <c r="BL10" s="112"/>
      <c r="BM10" s="101"/>
      <c r="BN10" s="100"/>
      <c r="BO10" s="100"/>
      <c r="BV10" s="132"/>
      <c r="BW10" s="101"/>
      <c r="BX10" s="112"/>
      <c r="BY10" s="112"/>
      <c r="BZ10" s="112"/>
      <c r="CA10" s="112"/>
      <c r="CB10" s="101"/>
      <c r="CC10" s="100"/>
      <c r="CK10" s="132"/>
      <c r="CL10" s="101"/>
      <c r="CM10" s="112"/>
      <c r="CN10" s="112"/>
      <c r="CO10" s="112"/>
      <c r="CP10" s="112"/>
      <c r="CQ10" s="101"/>
      <c r="CR10" s="100"/>
      <c r="CS10" s="100"/>
      <c r="CT10" s="100"/>
      <c r="CZ10" s="132"/>
      <c r="DA10" s="101"/>
      <c r="DB10" s="112"/>
      <c r="DC10" s="112"/>
      <c r="DD10" s="112"/>
      <c r="DE10" s="112"/>
      <c r="DF10" s="100"/>
      <c r="DG10" s="100"/>
      <c r="DH10" s="100"/>
      <c r="DO10" s="132"/>
      <c r="DP10" s="101"/>
      <c r="DQ10" s="112"/>
      <c r="DR10" s="112"/>
      <c r="DS10" s="112"/>
      <c r="DT10" s="112"/>
      <c r="DU10" s="102"/>
      <c r="DV10" s="100"/>
      <c r="DW10" s="100"/>
      <c r="ED10" s="132"/>
      <c r="EE10" s="101"/>
      <c r="EF10" s="112"/>
      <c r="EG10" s="112"/>
      <c r="EH10" s="112"/>
      <c r="EI10" s="112"/>
      <c r="EJ10" s="101"/>
      <c r="EK10" s="100"/>
      <c r="EL10" s="127"/>
      <c r="EM10" s="100"/>
      <c r="EN10" s="100"/>
      <c r="EO10" s="100"/>
    </row>
    <row r="11" spans="1:145" ht="18">
      <c r="A11" s="122" t="s">
        <v>236</v>
      </c>
      <c r="B11" s="116" t="e">
        <f>+#REF!+#REF!</f>
        <v>#REF!</v>
      </c>
      <c r="C11" s="101"/>
      <c r="D11" s="128"/>
      <c r="E11" s="129"/>
      <c r="F11" s="130" t="s">
        <v>235</v>
      </c>
      <c r="G11" s="116" t="e">
        <f>+#REF!</f>
        <v>#REF!</v>
      </c>
      <c r="H11" s="101">
        <f t="shared" si="0"/>
        <v>0</v>
      </c>
      <c r="I11" s="128"/>
      <c r="J11" s="128"/>
      <c r="K11" s="217"/>
      <c r="L11" s="130" t="s">
        <v>235</v>
      </c>
      <c r="M11" s="116" t="e">
        <f>+#REF!+#REF!</f>
        <v>#REF!</v>
      </c>
      <c r="N11" s="101">
        <f t="shared" si="1"/>
        <v>0</v>
      </c>
      <c r="O11" s="128"/>
      <c r="P11" s="128"/>
      <c r="Q11" s="130" t="s">
        <v>235</v>
      </c>
      <c r="R11" s="116" t="e">
        <f>+#REF!</f>
        <v>#REF!</v>
      </c>
      <c r="S11" s="116">
        <f t="shared" si="2"/>
        <v>0</v>
      </c>
      <c r="T11" s="128"/>
      <c r="U11" s="130" t="s">
        <v>235</v>
      </c>
      <c r="V11" s="116" t="e">
        <f>+#REF!+#REF!</f>
        <v>#REF!</v>
      </c>
      <c r="W11" s="101">
        <f t="shared" si="3"/>
        <v>0</v>
      </c>
      <c r="X11" s="128"/>
      <c r="Y11" s="128"/>
      <c r="Z11" s="130" t="s">
        <v>235</v>
      </c>
      <c r="AA11" s="116" t="e">
        <f>+#REF!</f>
        <v>#REF!</v>
      </c>
      <c r="AB11" s="101">
        <f t="shared" si="4"/>
        <v>0</v>
      </c>
      <c r="AC11" s="128"/>
      <c r="AD11" s="128"/>
      <c r="AE11" s="116"/>
      <c r="AF11" s="122"/>
      <c r="AG11" s="130" t="s">
        <v>235</v>
      </c>
      <c r="AH11" s="116" t="e">
        <f>+#REF!</f>
        <v>#REF!</v>
      </c>
      <c r="AI11" s="101"/>
      <c r="AJ11" s="128"/>
      <c r="AK11" s="130" t="s">
        <v>235</v>
      </c>
      <c r="AL11" s="116" t="e">
        <f>+#REF!+#REF!</f>
        <v>#REF!</v>
      </c>
      <c r="AM11" s="101"/>
      <c r="AN11" s="128"/>
      <c r="AO11" s="128"/>
      <c r="AP11" s="129"/>
      <c r="AQ11" s="130" t="s">
        <v>235</v>
      </c>
      <c r="AR11" s="116" t="e">
        <f>+#REF!</f>
        <v>#REF!</v>
      </c>
      <c r="AS11" s="101"/>
      <c r="AT11" s="128"/>
      <c r="AU11" s="128"/>
      <c r="AV11" s="130" t="s">
        <v>235</v>
      </c>
      <c r="AW11" s="116">
        <v>0</v>
      </c>
      <c r="AX11" s="101">
        <v>0</v>
      </c>
      <c r="AY11" s="128">
        <v>0</v>
      </c>
      <c r="AZ11" s="130" t="s">
        <v>235</v>
      </c>
      <c r="BA11" s="116"/>
      <c r="BB11" s="101"/>
      <c r="BC11" s="128"/>
      <c r="BD11" s="112"/>
      <c r="BE11" s="128"/>
      <c r="BF11" s="101"/>
      <c r="BG11" s="122"/>
      <c r="BH11" s="125"/>
      <c r="BI11" s="122"/>
      <c r="BK11" s="112"/>
      <c r="BL11" s="112"/>
      <c r="BM11" s="101"/>
      <c r="BN11" s="100"/>
      <c r="BO11" s="100"/>
      <c r="BV11" s="132"/>
      <c r="BW11" s="101"/>
      <c r="BX11" s="101"/>
      <c r="BY11" s="112"/>
      <c r="BZ11" s="112"/>
      <c r="CA11" s="112"/>
      <c r="CB11" s="101"/>
      <c r="CC11" s="100"/>
      <c r="CK11" s="132"/>
      <c r="CL11" s="101"/>
      <c r="CM11" s="101"/>
      <c r="CN11" s="112"/>
      <c r="CO11" s="112"/>
      <c r="CP11" s="112"/>
      <c r="CQ11" s="101"/>
      <c r="CR11" s="100"/>
      <c r="CS11" s="100"/>
      <c r="CT11" s="100"/>
      <c r="CZ11" s="132"/>
      <c r="DA11" s="101"/>
      <c r="DB11" s="101"/>
      <c r="DC11" s="112"/>
      <c r="DD11" s="112"/>
      <c r="DE11" s="112"/>
      <c r="DF11" s="100"/>
      <c r="DG11" s="100"/>
      <c r="DH11" s="100"/>
      <c r="DO11" s="132"/>
      <c r="DP11" s="101"/>
      <c r="DQ11" s="101"/>
      <c r="DR11" s="112"/>
      <c r="DS11" s="112"/>
      <c r="DT11" s="101"/>
      <c r="DU11" s="101"/>
      <c r="DV11" s="100"/>
      <c r="DW11" s="100"/>
      <c r="ED11" s="132"/>
      <c r="EE11" s="101"/>
      <c r="EF11" s="101"/>
      <c r="EG11" s="112"/>
      <c r="EH11" s="112"/>
      <c r="EI11" s="112"/>
      <c r="EJ11" s="101"/>
      <c r="EK11" s="100"/>
      <c r="EL11" s="127"/>
      <c r="EM11" s="100"/>
      <c r="EN11" s="100"/>
      <c r="EO11" s="100"/>
    </row>
    <row r="12" spans="1:145" ht="18">
      <c r="A12" s="122" t="s">
        <v>237</v>
      </c>
      <c r="B12" s="116" t="e">
        <f>+#REF!+#REF!</f>
        <v>#REF!</v>
      </c>
      <c r="C12" s="101"/>
      <c r="D12" s="128"/>
      <c r="E12" s="129"/>
      <c r="F12" s="122" t="s">
        <v>236</v>
      </c>
      <c r="G12" s="116" t="e">
        <f>+#REF!</f>
        <v>#REF!</v>
      </c>
      <c r="H12" s="101">
        <f t="shared" si="0"/>
        <v>0</v>
      </c>
      <c r="I12" s="128"/>
      <c r="J12" s="128"/>
      <c r="K12" s="217"/>
      <c r="L12" s="122" t="s">
        <v>236</v>
      </c>
      <c r="M12" s="116" t="e">
        <f>+#REF!+#REF!</f>
        <v>#REF!</v>
      </c>
      <c r="N12" s="101">
        <f t="shared" si="1"/>
        <v>0</v>
      </c>
      <c r="O12" s="128"/>
      <c r="P12" s="116"/>
      <c r="Q12" s="122" t="s">
        <v>236</v>
      </c>
      <c r="R12" s="116" t="e">
        <f>+#REF!</f>
        <v>#REF!</v>
      </c>
      <c r="S12" s="116">
        <f t="shared" si="2"/>
        <v>0</v>
      </c>
      <c r="T12" s="128"/>
      <c r="U12" s="122" t="s">
        <v>236</v>
      </c>
      <c r="V12" s="116" t="e">
        <f>+#REF!+#REF!</f>
        <v>#REF!</v>
      </c>
      <c r="W12" s="101">
        <f t="shared" si="3"/>
        <v>0</v>
      </c>
      <c r="X12" s="128"/>
      <c r="Y12" s="116"/>
      <c r="Z12" s="122" t="s">
        <v>236</v>
      </c>
      <c r="AA12" s="116" t="e">
        <f>+#REF!</f>
        <v>#REF!</v>
      </c>
      <c r="AB12" s="101">
        <f t="shared" si="4"/>
        <v>0</v>
      </c>
      <c r="AC12" s="128"/>
      <c r="AD12" s="116"/>
      <c r="AE12" s="116"/>
      <c r="AF12" s="122"/>
      <c r="AG12" s="122" t="s">
        <v>236</v>
      </c>
      <c r="AH12" s="116"/>
      <c r="AI12" s="101"/>
      <c r="AJ12" s="116"/>
      <c r="AK12" s="122" t="s">
        <v>236</v>
      </c>
      <c r="AL12" s="116"/>
      <c r="AM12" s="101"/>
      <c r="AN12" s="128"/>
      <c r="AO12" s="116"/>
      <c r="AP12" s="129"/>
      <c r="AQ12" s="122" t="s">
        <v>236</v>
      </c>
      <c r="AR12" s="116" t="e">
        <f>+#REF!</f>
        <v>#REF!</v>
      </c>
      <c r="AS12" s="101"/>
      <c r="AT12" s="128"/>
      <c r="AU12" s="116"/>
      <c r="AV12" s="122" t="s">
        <v>236</v>
      </c>
      <c r="AW12" s="116">
        <v>0</v>
      </c>
      <c r="AX12" s="101">
        <v>0</v>
      </c>
      <c r="AY12" s="128">
        <v>0</v>
      </c>
      <c r="AZ12" s="122" t="s">
        <v>236</v>
      </c>
      <c r="BA12" s="116"/>
      <c r="BB12" s="101"/>
      <c r="BC12" s="128"/>
      <c r="BD12" s="101"/>
      <c r="BE12" s="128"/>
      <c r="BF12" s="101"/>
      <c r="BG12" s="122"/>
      <c r="BH12" s="125"/>
      <c r="BI12" s="122"/>
      <c r="BK12" s="101"/>
      <c r="BL12" s="112"/>
      <c r="BM12" s="101"/>
      <c r="BN12" s="100"/>
      <c r="BO12" s="100"/>
      <c r="BV12" s="100"/>
      <c r="BW12" s="101"/>
      <c r="BX12" s="101"/>
      <c r="BY12" s="112"/>
      <c r="BZ12" s="101"/>
      <c r="CA12" s="112"/>
      <c r="CB12" s="112"/>
      <c r="CC12" s="100"/>
      <c r="CK12" s="100"/>
      <c r="CL12" s="101"/>
      <c r="CM12" s="101"/>
      <c r="CN12" s="112"/>
      <c r="CO12" s="101"/>
      <c r="CP12" s="112"/>
      <c r="CQ12" s="101"/>
      <c r="CR12" s="100"/>
      <c r="CS12" s="100"/>
      <c r="CT12" s="100"/>
      <c r="CZ12" s="100"/>
      <c r="DA12" s="101"/>
      <c r="DB12" s="101"/>
      <c r="DC12" s="112"/>
      <c r="DD12" s="101"/>
      <c r="DE12" s="112"/>
      <c r="DF12" s="114"/>
      <c r="DG12" s="100"/>
      <c r="DH12" s="100"/>
      <c r="DO12" s="100"/>
      <c r="DP12" s="101"/>
      <c r="DQ12" s="101"/>
      <c r="DR12" s="112"/>
      <c r="DS12" s="101"/>
      <c r="DT12" s="112"/>
      <c r="DU12" s="102"/>
      <c r="DV12" s="100"/>
      <c r="DW12" s="100"/>
      <c r="ED12" s="100"/>
      <c r="EE12" s="101"/>
      <c r="EF12" s="101"/>
      <c r="EG12" s="112"/>
      <c r="EH12" s="101"/>
      <c r="EI12" s="112"/>
      <c r="EJ12" s="101"/>
      <c r="EK12" s="100"/>
      <c r="EL12" s="127"/>
      <c r="EM12" s="100"/>
      <c r="EN12" s="100"/>
      <c r="EO12" s="100"/>
    </row>
    <row r="13" spans="1:145" ht="18">
      <c r="A13" s="122" t="s">
        <v>238</v>
      </c>
      <c r="B13" s="116" t="e">
        <f>+#REF!</f>
        <v>#REF!</v>
      </c>
      <c r="C13" s="101"/>
      <c r="D13" s="128"/>
      <c r="E13" s="129"/>
      <c r="F13" s="122" t="s">
        <v>237</v>
      </c>
      <c r="G13" s="116" t="s">
        <v>27</v>
      </c>
      <c r="H13" s="101">
        <f t="shared" si="0"/>
        <v>0</v>
      </c>
      <c r="I13" s="128"/>
      <c r="J13" s="128"/>
      <c r="K13" s="217"/>
      <c r="L13" s="122" t="s">
        <v>237</v>
      </c>
      <c r="M13" s="116" t="s">
        <v>27</v>
      </c>
      <c r="N13" s="101">
        <f t="shared" si="1"/>
        <v>0</v>
      </c>
      <c r="O13" s="128"/>
      <c r="P13" s="128"/>
      <c r="Q13" s="122" t="s">
        <v>237</v>
      </c>
      <c r="R13" s="116" t="s">
        <v>27</v>
      </c>
      <c r="S13" s="116">
        <f t="shared" si="2"/>
        <v>0</v>
      </c>
      <c r="T13" s="128"/>
      <c r="U13" s="122" t="s">
        <v>237</v>
      </c>
      <c r="V13" s="116"/>
      <c r="W13" s="101">
        <f t="shared" si="3"/>
        <v>0</v>
      </c>
      <c r="X13" s="128"/>
      <c r="Y13" s="128"/>
      <c r="Z13" s="122" t="s">
        <v>237</v>
      </c>
      <c r="AA13" s="116" t="s">
        <v>27</v>
      </c>
      <c r="AB13" s="101">
        <f t="shared" si="4"/>
        <v>0</v>
      </c>
      <c r="AC13" s="128"/>
      <c r="AD13" s="128"/>
      <c r="AE13" s="116"/>
      <c r="AF13" s="122"/>
      <c r="AG13" s="122" t="s">
        <v>237</v>
      </c>
      <c r="AH13" s="116"/>
      <c r="AI13" s="101"/>
      <c r="AJ13" s="128"/>
      <c r="AK13" s="122" t="s">
        <v>237</v>
      </c>
      <c r="AL13" s="116"/>
      <c r="AM13" s="101"/>
      <c r="AN13" s="128"/>
      <c r="AO13" s="128"/>
      <c r="AP13" s="129"/>
      <c r="AQ13" s="122" t="s">
        <v>237</v>
      </c>
      <c r="AR13" s="116" t="s">
        <v>27</v>
      </c>
      <c r="AS13" s="101"/>
      <c r="AT13" s="128"/>
      <c r="AU13" s="128"/>
      <c r="AV13" s="122" t="s">
        <v>237</v>
      </c>
      <c r="AW13" s="116">
        <v>0</v>
      </c>
      <c r="AX13" s="101">
        <v>0</v>
      </c>
      <c r="AY13" s="128">
        <v>0</v>
      </c>
      <c r="AZ13" s="122" t="s">
        <v>237</v>
      </c>
      <c r="BA13" s="116"/>
      <c r="BB13" s="101"/>
      <c r="BC13" s="128"/>
      <c r="BD13" s="112"/>
      <c r="BE13" s="128"/>
      <c r="BF13" s="101"/>
      <c r="BG13" s="122"/>
      <c r="BH13" s="125"/>
      <c r="BI13" s="122"/>
      <c r="BK13" s="112"/>
      <c r="BL13" s="112"/>
      <c r="BM13" s="101"/>
      <c r="BN13" s="100"/>
      <c r="BO13" s="100"/>
      <c r="BV13" s="100"/>
      <c r="BW13" s="101"/>
      <c r="BX13" s="101"/>
      <c r="BY13" s="112"/>
      <c r="BZ13" s="112"/>
      <c r="CA13" s="112"/>
      <c r="CB13" s="102"/>
      <c r="CC13" s="100"/>
      <c r="CK13" s="100"/>
      <c r="CL13" s="101"/>
      <c r="CM13" s="101"/>
      <c r="CN13" s="112"/>
      <c r="CO13" s="112"/>
      <c r="CP13" s="112"/>
      <c r="CQ13" s="101"/>
      <c r="CR13" s="100"/>
      <c r="CS13" s="100"/>
      <c r="CT13" s="100"/>
      <c r="CZ13" s="100"/>
      <c r="DA13" s="101"/>
      <c r="DB13" s="101"/>
      <c r="DC13" s="112"/>
      <c r="DD13" s="112"/>
      <c r="DE13" s="112"/>
      <c r="DF13" s="114"/>
      <c r="DG13" s="100"/>
      <c r="DH13" s="100"/>
      <c r="DO13" s="100"/>
      <c r="DP13" s="101"/>
      <c r="DQ13" s="101"/>
      <c r="DR13" s="112"/>
      <c r="DS13" s="112"/>
      <c r="DT13" s="101"/>
      <c r="DU13" s="102"/>
      <c r="DV13" s="100"/>
      <c r="DW13" s="100"/>
      <c r="ED13" s="100"/>
      <c r="EE13" s="101"/>
      <c r="EF13" s="101"/>
      <c r="EG13" s="112"/>
      <c r="EH13" s="112"/>
      <c r="EI13" s="112"/>
      <c r="EJ13" s="101"/>
      <c r="EK13" s="100"/>
      <c r="EL13" s="127"/>
      <c r="EM13" s="100"/>
      <c r="EN13" s="100"/>
      <c r="EO13" s="100"/>
    </row>
    <row r="14" spans="1:145" ht="18">
      <c r="A14" s="122" t="s">
        <v>239</v>
      </c>
      <c r="B14" s="116">
        <v>0</v>
      </c>
      <c r="C14" s="101"/>
      <c r="D14" s="128"/>
      <c r="E14" s="129"/>
      <c r="F14" s="122" t="s">
        <v>238</v>
      </c>
      <c r="G14" s="116" t="e">
        <f>+#REF!</f>
        <v>#REF!</v>
      </c>
      <c r="H14" s="101">
        <f t="shared" si="0"/>
        <v>0</v>
      </c>
      <c r="I14" s="128"/>
      <c r="J14" s="128"/>
      <c r="K14" s="217"/>
      <c r="L14" s="122" t="s">
        <v>238</v>
      </c>
      <c r="M14" s="116" t="e">
        <f>+#REF!+#REF!</f>
        <v>#REF!</v>
      </c>
      <c r="N14" s="101">
        <f t="shared" si="1"/>
        <v>0</v>
      </c>
      <c r="O14" s="128"/>
      <c r="P14" s="128"/>
      <c r="Q14" s="122" t="s">
        <v>238</v>
      </c>
      <c r="R14" s="116" t="e">
        <f>+#REF!</f>
        <v>#REF!</v>
      </c>
      <c r="S14" s="116">
        <f t="shared" si="2"/>
        <v>0</v>
      </c>
      <c r="T14" s="128"/>
      <c r="U14" s="122" t="s">
        <v>238</v>
      </c>
      <c r="V14" s="116">
        <v>0</v>
      </c>
      <c r="W14" s="101">
        <f t="shared" si="3"/>
        <v>0</v>
      </c>
      <c r="X14" s="128"/>
      <c r="Y14" s="128"/>
      <c r="Z14" s="122" t="s">
        <v>238</v>
      </c>
      <c r="AA14" s="116" t="e">
        <f>+#REF!</f>
        <v>#REF!</v>
      </c>
      <c r="AB14" s="101">
        <f t="shared" si="4"/>
        <v>0</v>
      </c>
      <c r="AC14" s="128"/>
      <c r="AD14" s="128"/>
      <c r="AE14" s="116"/>
      <c r="AF14" s="122"/>
      <c r="AG14" s="122" t="s">
        <v>238</v>
      </c>
      <c r="AH14" s="116"/>
      <c r="AI14" s="101"/>
      <c r="AJ14" s="128"/>
      <c r="AK14" s="122" t="s">
        <v>238</v>
      </c>
      <c r="AL14" s="116"/>
      <c r="AM14" s="101"/>
      <c r="AN14" s="128"/>
      <c r="AO14" s="128"/>
      <c r="AP14" s="129"/>
      <c r="AQ14" s="122" t="s">
        <v>238</v>
      </c>
      <c r="AR14" s="116" t="s">
        <v>27</v>
      </c>
      <c r="AS14" s="101"/>
      <c r="AT14" s="128"/>
      <c r="AU14" s="128"/>
      <c r="AV14" s="122" t="s">
        <v>238</v>
      </c>
      <c r="AW14" s="116">
        <v>0</v>
      </c>
      <c r="AX14" s="101">
        <v>0</v>
      </c>
      <c r="AY14" s="128">
        <v>0</v>
      </c>
      <c r="AZ14" s="122" t="s">
        <v>238</v>
      </c>
      <c r="BA14" s="116"/>
      <c r="BB14" s="101"/>
      <c r="BC14" s="128"/>
      <c r="BD14" s="112"/>
      <c r="BE14" s="128"/>
      <c r="BF14" s="101"/>
      <c r="BG14" s="122"/>
      <c r="BH14" s="125"/>
      <c r="BI14" s="122"/>
      <c r="BK14" s="112"/>
      <c r="BL14" s="112"/>
      <c r="BM14" s="101"/>
      <c r="BN14" s="100"/>
      <c r="BO14" s="100"/>
      <c r="BV14" s="100"/>
      <c r="BW14" s="101"/>
      <c r="BX14" s="101"/>
      <c r="BY14" s="112"/>
      <c r="BZ14" s="112"/>
      <c r="CA14" s="112"/>
      <c r="CB14" s="102"/>
      <c r="CC14" s="100"/>
      <c r="CK14" s="100"/>
      <c r="CL14" s="101"/>
      <c r="CM14" s="101"/>
      <c r="CN14" s="112"/>
      <c r="CO14" s="112"/>
      <c r="CP14" s="112"/>
      <c r="CQ14" s="101"/>
      <c r="CR14" s="100"/>
      <c r="CS14" s="100"/>
      <c r="CT14" s="100"/>
      <c r="CZ14" s="100"/>
      <c r="DA14" s="101"/>
      <c r="DB14" s="101"/>
      <c r="DC14" s="112"/>
      <c r="DD14" s="112"/>
      <c r="DE14" s="112"/>
      <c r="DF14" s="114"/>
      <c r="DG14" s="100"/>
      <c r="DH14" s="100"/>
      <c r="DO14" s="100"/>
      <c r="DP14" s="101"/>
      <c r="DQ14" s="101"/>
      <c r="DR14" s="112"/>
      <c r="DS14" s="112"/>
      <c r="DT14" s="101"/>
      <c r="DU14" s="102"/>
      <c r="DV14" s="100"/>
      <c r="DW14" s="100"/>
      <c r="ED14" s="100"/>
      <c r="EE14" s="101"/>
      <c r="EF14" s="101"/>
      <c r="EG14" s="112"/>
      <c r="EH14" s="112"/>
      <c r="EI14" s="112"/>
      <c r="EJ14" s="101"/>
      <c r="EK14" s="100"/>
      <c r="EL14" s="127"/>
      <c r="EM14" s="100"/>
      <c r="EN14" s="100"/>
      <c r="EO14" s="100"/>
    </row>
    <row r="15" spans="1:145" ht="18">
      <c r="A15" s="122" t="s">
        <v>240</v>
      </c>
      <c r="B15" s="128">
        <v>0</v>
      </c>
      <c r="C15" s="101"/>
      <c r="D15" s="128"/>
      <c r="E15" s="129"/>
      <c r="F15" s="122" t="s">
        <v>239</v>
      </c>
      <c r="G15" s="116" t="s">
        <v>27</v>
      </c>
      <c r="H15" s="101">
        <f t="shared" si="0"/>
        <v>0</v>
      </c>
      <c r="I15" s="128"/>
      <c r="J15" s="128"/>
      <c r="K15" s="217"/>
      <c r="L15" s="122" t="s">
        <v>239</v>
      </c>
      <c r="M15" s="116" t="s">
        <v>27</v>
      </c>
      <c r="N15" s="101">
        <f t="shared" si="1"/>
        <v>0</v>
      </c>
      <c r="O15" s="128"/>
      <c r="P15" s="128"/>
      <c r="Q15" s="122" t="s">
        <v>239</v>
      </c>
      <c r="R15" s="116" t="s">
        <v>27</v>
      </c>
      <c r="S15" s="116">
        <f t="shared" si="2"/>
        <v>0</v>
      </c>
      <c r="T15" s="128"/>
      <c r="U15" s="122" t="s">
        <v>239</v>
      </c>
      <c r="V15" s="116"/>
      <c r="W15" s="101">
        <f t="shared" si="3"/>
        <v>0</v>
      </c>
      <c r="X15" s="128"/>
      <c r="Y15" s="128"/>
      <c r="Z15" s="122" t="s">
        <v>239</v>
      </c>
      <c r="AA15" s="116" t="s">
        <v>27</v>
      </c>
      <c r="AB15" s="101">
        <f t="shared" si="4"/>
        <v>0</v>
      </c>
      <c r="AC15" s="128"/>
      <c r="AD15" s="128"/>
      <c r="AE15" s="116"/>
      <c r="AF15" s="122"/>
      <c r="AG15" s="122" t="s">
        <v>239</v>
      </c>
      <c r="AH15" s="116"/>
      <c r="AI15" s="101"/>
      <c r="AJ15" s="128">
        <v>0</v>
      </c>
      <c r="AK15" s="122" t="s">
        <v>239</v>
      </c>
      <c r="AL15" s="116"/>
      <c r="AM15" s="101"/>
      <c r="AN15" s="128"/>
      <c r="AO15" s="128"/>
      <c r="AP15" s="129"/>
      <c r="AQ15" s="122" t="s">
        <v>239</v>
      </c>
      <c r="AR15" s="116" t="s">
        <v>27</v>
      </c>
      <c r="AS15" s="101"/>
      <c r="AT15" s="128"/>
      <c r="AU15" s="128"/>
      <c r="AV15" s="122" t="s">
        <v>239</v>
      </c>
      <c r="AW15" s="116">
        <v>0</v>
      </c>
      <c r="AX15" s="101">
        <v>0</v>
      </c>
      <c r="AY15" s="128">
        <v>0</v>
      </c>
      <c r="AZ15" s="122" t="s">
        <v>239</v>
      </c>
      <c r="BA15" s="116"/>
      <c r="BB15" s="101"/>
      <c r="BC15" s="128"/>
      <c r="BD15" s="112"/>
      <c r="BE15" s="128"/>
      <c r="BF15" s="101"/>
      <c r="BG15" s="122"/>
      <c r="BH15" s="125"/>
      <c r="BI15" s="122"/>
      <c r="BK15" s="112"/>
      <c r="BL15" s="112"/>
      <c r="BM15" s="101"/>
      <c r="BN15" s="100"/>
      <c r="BO15" s="100"/>
      <c r="BV15" s="100"/>
      <c r="BW15" s="101"/>
      <c r="BX15" s="101"/>
      <c r="BY15" s="112"/>
      <c r="BZ15" s="112"/>
      <c r="CA15" s="112"/>
      <c r="CB15" s="101"/>
      <c r="CC15" s="100"/>
      <c r="CK15" s="100"/>
      <c r="CL15" s="101"/>
      <c r="CM15" s="101"/>
      <c r="CN15" s="112"/>
      <c r="CO15" s="112"/>
      <c r="CP15" s="112"/>
      <c r="CQ15" s="101"/>
      <c r="CR15" s="100"/>
      <c r="CS15" s="100"/>
      <c r="CT15" s="100"/>
      <c r="CZ15" s="100"/>
      <c r="DA15" s="101"/>
      <c r="DB15" s="101"/>
      <c r="DC15" s="112"/>
      <c r="DD15" s="112"/>
      <c r="DE15" s="112"/>
      <c r="DF15" s="114"/>
      <c r="DG15" s="100"/>
      <c r="DH15" s="100"/>
      <c r="DO15" s="100"/>
      <c r="DP15" s="101"/>
      <c r="DQ15" s="101"/>
      <c r="DR15" s="112"/>
      <c r="DS15" s="112"/>
      <c r="DT15" s="100"/>
      <c r="DU15" s="101"/>
      <c r="DV15" s="100"/>
      <c r="DW15" s="100"/>
      <c r="ED15" s="100"/>
      <c r="EE15" s="101"/>
      <c r="EF15" s="101"/>
      <c r="EG15" s="112"/>
      <c r="EH15" s="112"/>
      <c r="EI15" s="112"/>
      <c r="EJ15" s="101"/>
      <c r="EK15" s="100"/>
      <c r="EL15" s="127"/>
      <c r="EM15" s="100"/>
      <c r="EN15" s="100"/>
      <c r="EO15" s="100"/>
    </row>
    <row r="16" spans="1:145" ht="18">
      <c r="A16" s="122" t="s">
        <v>241</v>
      </c>
      <c r="B16" s="128" t="e">
        <f>+#REF!+#REF!</f>
        <v>#REF!</v>
      </c>
      <c r="C16" s="112"/>
      <c r="D16" s="128"/>
      <c r="E16" s="117"/>
      <c r="F16" s="122" t="s">
        <v>240</v>
      </c>
      <c r="G16" s="116" t="s">
        <v>27</v>
      </c>
      <c r="H16" s="101">
        <f t="shared" si="0"/>
        <v>0</v>
      </c>
      <c r="I16" s="128"/>
      <c r="J16" s="128"/>
      <c r="K16" s="217"/>
      <c r="L16" s="122" t="s">
        <v>240</v>
      </c>
      <c r="M16" s="116" t="s">
        <v>27</v>
      </c>
      <c r="N16" s="101">
        <f t="shared" si="1"/>
        <v>0</v>
      </c>
      <c r="O16" s="128"/>
      <c r="P16" s="128"/>
      <c r="Q16" s="122" t="s">
        <v>240</v>
      </c>
      <c r="R16" s="116" t="s">
        <v>27</v>
      </c>
      <c r="S16" s="116">
        <f t="shared" si="2"/>
        <v>0</v>
      </c>
      <c r="T16" s="128"/>
      <c r="U16" s="122" t="s">
        <v>240</v>
      </c>
      <c r="V16" s="128">
        <v>0</v>
      </c>
      <c r="W16" s="101">
        <f t="shared" si="3"/>
        <v>0</v>
      </c>
      <c r="X16" s="128"/>
      <c r="Y16" s="128"/>
      <c r="Z16" s="122" t="s">
        <v>240</v>
      </c>
      <c r="AA16" s="116" t="s">
        <v>27</v>
      </c>
      <c r="AB16" s="101">
        <f t="shared" si="4"/>
        <v>0</v>
      </c>
      <c r="AC16" s="128"/>
      <c r="AD16" s="128"/>
      <c r="AE16" s="116"/>
      <c r="AF16" s="122"/>
      <c r="AG16" s="122" t="s">
        <v>240</v>
      </c>
      <c r="AH16" s="128"/>
      <c r="AI16" s="101"/>
      <c r="AJ16" s="128">
        <v>0</v>
      </c>
      <c r="AK16" s="122" t="s">
        <v>240</v>
      </c>
      <c r="AL16" s="128"/>
      <c r="AM16" s="101"/>
      <c r="AN16" s="128"/>
      <c r="AO16" s="128"/>
      <c r="AP16" s="129"/>
      <c r="AQ16" s="122" t="s">
        <v>240</v>
      </c>
      <c r="AR16" s="116" t="s">
        <v>27</v>
      </c>
      <c r="AS16" s="101"/>
      <c r="AT16" s="128"/>
      <c r="AU16" s="128"/>
      <c r="AV16" s="122" t="s">
        <v>240</v>
      </c>
      <c r="AW16" s="128" t="e">
        <f>+#REF!</f>
        <v>#REF!</v>
      </c>
      <c r="AX16" s="101">
        <v>0</v>
      </c>
      <c r="AY16" s="128">
        <v>0</v>
      </c>
      <c r="AZ16" s="122" t="s">
        <v>240</v>
      </c>
      <c r="BA16" s="116"/>
      <c r="BB16" s="101"/>
      <c r="BC16" s="128"/>
      <c r="BD16" s="112"/>
      <c r="BE16" s="128"/>
      <c r="BF16" s="101"/>
      <c r="BG16" s="122"/>
      <c r="BH16" s="125"/>
      <c r="BI16" s="122"/>
      <c r="BK16" s="112"/>
      <c r="BL16" s="112"/>
      <c r="BM16" s="101"/>
      <c r="BN16" s="100"/>
      <c r="BO16" s="100"/>
      <c r="BV16" s="100"/>
      <c r="BW16" s="112"/>
      <c r="BX16" s="101"/>
      <c r="BY16" s="112"/>
      <c r="BZ16" s="112"/>
      <c r="CA16" s="112"/>
      <c r="CB16" s="102"/>
      <c r="CC16" s="100"/>
      <c r="CK16" s="100"/>
      <c r="CL16" s="112"/>
      <c r="CM16" s="101"/>
      <c r="CN16" s="112"/>
      <c r="CO16" s="112"/>
      <c r="CP16" s="112"/>
      <c r="CQ16" s="101"/>
      <c r="CR16" s="100"/>
      <c r="CS16" s="100"/>
      <c r="CT16" s="100"/>
      <c r="CZ16" s="100"/>
      <c r="DA16" s="112"/>
      <c r="DB16" s="101"/>
      <c r="DC16" s="112"/>
      <c r="DD16" s="112"/>
      <c r="DE16" s="112"/>
      <c r="DF16" s="114"/>
      <c r="DG16" s="100"/>
      <c r="DH16" s="100"/>
      <c r="DO16" s="100"/>
      <c r="DP16" s="112"/>
      <c r="DQ16" s="101"/>
      <c r="DR16" s="112"/>
      <c r="DS16" s="112"/>
      <c r="DT16" s="100"/>
      <c r="DU16" s="101"/>
      <c r="DV16" s="100"/>
      <c r="DW16" s="100"/>
      <c r="ED16" s="100"/>
      <c r="EE16" s="112"/>
      <c r="EF16" s="101"/>
      <c r="EG16" s="112"/>
      <c r="EH16" s="112"/>
      <c r="EI16" s="112"/>
      <c r="EJ16" s="101"/>
      <c r="EK16" s="100"/>
      <c r="EL16" s="127"/>
      <c r="EM16" s="100"/>
      <c r="EN16" s="100"/>
      <c r="EO16" s="100"/>
    </row>
    <row r="17" spans="1:145" ht="18.75" thickBot="1">
      <c r="A17" s="122" t="s">
        <v>242</v>
      </c>
      <c r="B17" s="128" t="e">
        <f>+#REF!</f>
        <v>#REF!</v>
      </c>
      <c r="C17" s="112">
        <v>0</v>
      </c>
      <c r="D17" s="128"/>
      <c r="E17" s="129">
        <v>0</v>
      </c>
      <c r="F17" s="122" t="s">
        <v>241</v>
      </c>
      <c r="G17" s="128" t="e">
        <f>+#REF!</f>
        <v>#REF!</v>
      </c>
      <c r="H17" s="101">
        <f t="shared" si="0"/>
        <v>0</v>
      </c>
      <c r="I17" s="128"/>
      <c r="J17" s="128"/>
      <c r="K17" s="217"/>
      <c r="L17" s="122" t="s">
        <v>241</v>
      </c>
      <c r="M17" s="128" t="e">
        <f>+#REF!</f>
        <v>#REF!</v>
      </c>
      <c r="N17" s="101">
        <f t="shared" si="1"/>
        <v>0</v>
      </c>
      <c r="O17" s="128"/>
      <c r="P17" s="128"/>
      <c r="Q17" s="122" t="s">
        <v>241</v>
      </c>
      <c r="R17" s="128" t="e">
        <f>+#REF!</f>
        <v>#REF!</v>
      </c>
      <c r="S17" s="116">
        <f t="shared" si="2"/>
        <v>0</v>
      </c>
      <c r="T17" s="128"/>
      <c r="U17" s="122" t="s">
        <v>241</v>
      </c>
      <c r="V17" s="128" t="e">
        <f>+#REF!</f>
        <v>#REF!</v>
      </c>
      <c r="W17" s="101">
        <f t="shared" si="3"/>
        <v>0</v>
      </c>
      <c r="X17" s="128"/>
      <c r="Y17" s="128"/>
      <c r="Z17" s="122" t="s">
        <v>241</v>
      </c>
      <c r="AA17" s="128" t="e">
        <f>+#REF!</f>
        <v>#REF!</v>
      </c>
      <c r="AB17" s="101">
        <f t="shared" si="4"/>
        <v>0</v>
      </c>
      <c r="AC17" s="128"/>
      <c r="AD17" s="128"/>
      <c r="AE17" s="128"/>
      <c r="AF17" s="122"/>
      <c r="AG17" s="122" t="s">
        <v>244</v>
      </c>
      <c r="AH17" s="128"/>
      <c r="AI17" s="112"/>
      <c r="AJ17" s="128">
        <v>0</v>
      </c>
      <c r="AK17" s="122" t="s">
        <v>241</v>
      </c>
      <c r="AL17" s="128"/>
      <c r="AM17" s="112"/>
      <c r="AN17" s="128"/>
      <c r="AO17" s="128"/>
      <c r="AP17" s="129"/>
      <c r="AQ17" s="122" t="s">
        <v>241</v>
      </c>
      <c r="AR17" s="116" t="s">
        <v>27</v>
      </c>
      <c r="AS17" s="112"/>
      <c r="AT17" s="128"/>
      <c r="AU17" s="128"/>
      <c r="AV17" s="122" t="s">
        <v>241</v>
      </c>
      <c r="AW17" s="128">
        <v>0</v>
      </c>
      <c r="AX17" s="112">
        <v>0</v>
      </c>
      <c r="AY17" s="128">
        <v>0</v>
      </c>
      <c r="AZ17" s="122" t="s">
        <v>243</v>
      </c>
      <c r="BA17" s="128"/>
      <c r="BB17" s="112"/>
      <c r="BC17" s="128"/>
      <c r="BD17" s="112"/>
      <c r="BE17" s="128"/>
      <c r="BF17" s="101"/>
      <c r="BG17" s="122"/>
      <c r="BH17" s="125"/>
      <c r="BI17" s="122"/>
      <c r="BK17" s="112"/>
      <c r="BL17" s="112"/>
      <c r="BM17" s="112"/>
      <c r="BN17" s="100"/>
      <c r="BO17" s="100"/>
      <c r="BV17" s="100"/>
      <c r="BW17" s="112"/>
      <c r="BX17" s="112"/>
      <c r="BY17" s="112"/>
      <c r="BZ17" s="112"/>
      <c r="CA17" s="112"/>
      <c r="CB17" s="102"/>
      <c r="CC17" s="100"/>
      <c r="CK17" s="100"/>
      <c r="CL17" s="112"/>
      <c r="CM17" s="112"/>
      <c r="CN17" s="112"/>
      <c r="CO17" s="112"/>
      <c r="CP17" s="112"/>
      <c r="CQ17" s="112"/>
      <c r="CR17" s="100"/>
      <c r="CS17" s="100"/>
      <c r="CT17" s="100"/>
      <c r="CZ17" s="100"/>
      <c r="DA17" s="112"/>
      <c r="DB17" s="112"/>
      <c r="DC17" s="112"/>
      <c r="DD17" s="112"/>
      <c r="DE17" s="112"/>
      <c r="DF17" s="114"/>
      <c r="DG17" s="100"/>
      <c r="DH17" s="100"/>
      <c r="DO17" s="100"/>
      <c r="DP17" s="112"/>
      <c r="DQ17" s="112"/>
      <c r="DR17" s="112"/>
      <c r="DS17" s="112"/>
      <c r="DT17" s="103"/>
      <c r="DU17" s="103"/>
      <c r="DV17" s="100"/>
      <c r="DW17" s="100"/>
      <c r="ED17" s="100"/>
      <c r="EE17" s="112"/>
      <c r="EF17" s="112"/>
      <c r="EG17" s="112"/>
      <c r="EH17" s="112"/>
      <c r="EI17" s="112"/>
      <c r="EJ17" s="101"/>
      <c r="EK17" s="100"/>
      <c r="EL17" s="127"/>
      <c r="EM17" s="100"/>
      <c r="EN17" s="100"/>
      <c r="EO17" s="100"/>
    </row>
    <row r="18" spans="1:145" ht="18.75" thickBot="1">
      <c r="A18" s="133" t="s">
        <v>34</v>
      </c>
      <c r="B18" s="134" t="e">
        <f>SUM(B5:B17)</f>
        <v>#REF!</v>
      </c>
      <c r="C18" s="135">
        <f>SUM(C6:C17)</f>
        <v>0</v>
      </c>
      <c r="D18" s="134">
        <f>SUM(D6:D17)</f>
        <v>0</v>
      </c>
      <c r="E18" s="136">
        <f>SUM(E6:E17)</f>
        <v>0</v>
      </c>
      <c r="F18" s="122" t="s">
        <v>242</v>
      </c>
      <c r="G18" s="116" t="s">
        <v>27</v>
      </c>
      <c r="H18" s="101">
        <f t="shared" si="0"/>
        <v>0</v>
      </c>
      <c r="I18" s="128"/>
      <c r="J18" s="128"/>
      <c r="K18" s="217"/>
      <c r="L18" s="122" t="s">
        <v>242</v>
      </c>
      <c r="M18" s="128" t="e">
        <f>+#REF!</f>
        <v>#REF!</v>
      </c>
      <c r="N18" s="101">
        <f t="shared" si="1"/>
        <v>0</v>
      </c>
      <c r="O18" s="128"/>
      <c r="P18" s="128"/>
      <c r="Q18" s="122" t="s">
        <v>242</v>
      </c>
      <c r="R18" s="128" t="e">
        <f>+#REF!</f>
        <v>#REF!</v>
      </c>
      <c r="S18" s="128"/>
      <c r="T18" s="128"/>
      <c r="U18" s="122" t="s">
        <v>242</v>
      </c>
      <c r="V18" s="128">
        <v>0</v>
      </c>
      <c r="W18" s="101">
        <f t="shared" si="3"/>
        <v>0</v>
      </c>
      <c r="X18" s="128"/>
      <c r="Y18" s="128"/>
      <c r="Z18" s="122" t="s">
        <v>242</v>
      </c>
      <c r="AA18" s="128" t="e">
        <f>+#REF!+#REF!+#REF!+#REF!</f>
        <v>#REF!</v>
      </c>
      <c r="AB18" s="101">
        <f t="shared" si="4"/>
        <v>0</v>
      </c>
      <c r="AC18" s="128"/>
      <c r="AD18" s="128"/>
      <c r="AE18" s="137"/>
      <c r="AF18" s="122"/>
      <c r="AG18" s="122" t="s">
        <v>242</v>
      </c>
      <c r="AH18" s="128"/>
      <c r="AI18" s="112"/>
      <c r="AJ18" s="128">
        <v>0</v>
      </c>
      <c r="AK18" s="122" t="s">
        <v>242</v>
      </c>
      <c r="AL18" s="128"/>
      <c r="AM18" s="112"/>
      <c r="AN18" s="128"/>
      <c r="AO18" s="128"/>
      <c r="AP18" s="129"/>
      <c r="AQ18" s="122" t="s">
        <v>242</v>
      </c>
      <c r="AR18" s="128" t="e">
        <f>+#REF!</f>
        <v>#REF!</v>
      </c>
      <c r="AS18" s="112">
        <v>0</v>
      </c>
      <c r="AT18" s="128"/>
      <c r="AU18" s="128"/>
      <c r="AV18" s="122" t="s">
        <v>242</v>
      </c>
      <c r="AW18" s="128">
        <v>0</v>
      </c>
      <c r="AX18" s="112">
        <v>0</v>
      </c>
      <c r="AY18" s="128"/>
      <c r="AZ18" s="122" t="s">
        <v>245</v>
      </c>
      <c r="BA18" s="138"/>
      <c r="BB18" s="112"/>
      <c r="BC18" s="128"/>
      <c r="BD18" s="112"/>
      <c r="BE18" s="128"/>
      <c r="BF18" s="112"/>
      <c r="BG18" s="122"/>
      <c r="BH18" s="125"/>
      <c r="BI18" s="122"/>
      <c r="BK18" s="112"/>
      <c r="BL18" s="112"/>
      <c r="BM18" s="102"/>
      <c r="BN18" s="100"/>
      <c r="BO18" s="100"/>
      <c r="BV18" s="100"/>
      <c r="BW18" s="112"/>
      <c r="BX18" s="112"/>
      <c r="BY18" s="112"/>
      <c r="BZ18" s="112"/>
      <c r="CA18" s="112"/>
      <c r="CB18" s="102"/>
      <c r="CC18" s="100"/>
      <c r="CK18" s="100"/>
      <c r="CL18" s="112"/>
      <c r="CM18" s="112"/>
      <c r="CN18" s="112"/>
      <c r="CO18" s="112"/>
      <c r="CP18" s="112"/>
      <c r="CQ18" s="102"/>
      <c r="CR18" s="100"/>
      <c r="CS18" s="100"/>
      <c r="CT18" s="100"/>
      <c r="CZ18" s="100"/>
      <c r="DA18" s="112"/>
      <c r="DB18" s="112"/>
      <c r="DC18" s="112"/>
      <c r="DD18" s="112"/>
      <c r="DE18" s="112"/>
      <c r="DF18" s="113"/>
      <c r="DG18" s="100"/>
      <c r="DH18" s="100"/>
      <c r="DO18" s="100"/>
      <c r="DP18" s="112"/>
      <c r="DQ18" s="112"/>
      <c r="DR18" s="112"/>
      <c r="DS18" s="112"/>
      <c r="DT18" s="100"/>
      <c r="DU18" s="100"/>
      <c r="DV18" s="100"/>
      <c r="DW18" s="100"/>
      <c r="ED18" s="100"/>
      <c r="EE18" s="112"/>
      <c r="EF18" s="112"/>
      <c r="EG18" s="112"/>
      <c r="EH18" s="112"/>
      <c r="EI18" s="112"/>
      <c r="EJ18" s="112"/>
      <c r="EK18" s="100"/>
      <c r="EL18" s="127"/>
      <c r="EM18" s="100"/>
      <c r="EN18" s="100"/>
      <c r="EO18" s="100"/>
    </row>
    <row r="19" spans="1:145" ht="18.75" thickBot="1">
      <c r="A19" s="139" t="s">
        <v>246</v>
      </c>
      <c r="B19" s="116"/>
      <c r="C19" s="101"/>
      <c r="D19" s="116"/>
      <c r="E19" s="117"/>
      <c r="F19" s="133" t="s">
        <v>34</v>
      </c>
      <c r="G19" s="140" t="e">
        <f>SUM(G6:G18)</f>
        <v>#REF!</v>
      </c>
      <c r="H19" s="141">
        <f>SUM(H7:H18)</f>
        <v>0</v>
      </c>
      <c r="I19" s="140">
        <f>SUM(I7:I18)</f>
        <v>0</v>
      </c>
      <c r="J19" s="140">
        <f>SUM(J7:J18)</f>
        <v>0</v>
      </c>
      <c r="K19" s="218"/>
      <c r="L19" s="133" t="s">
        <v>34</v>
      </c>
      <c r="M19" s="134" t="e">
        <f>SUM(M6:M18)</f>
        <v>#REF!</v>
      </c>
      <c r="N19" s="135">
        <f>SUM(N7:N18)</f>
        <v>0</v>
      </c>
      <c r="O19" s="134">
        <f>SUM(O7:O18)</f>
        <v>0</v>
      </c>
      <c r="P19" s="134">
        <f>SUM(P7:P18)</f>
        <v>0</v>
      </c>
      <c r="Q19" s="133" t="s">
        <v>34</v>
      </c>
      <c r="R19" s="140" t="e">
        <f>SUM(R6:R18)</f>
        <v>#REF!</v>
      </c>
      <c r="S19" s="140">
        <f>SUM(S7:S18)</f>
        <v>0</v>
      </c>
      <c r="T19" s="140">
        <f>SUM(T7:T18)</f>
        <v>0</v>
      </c>
      <c r="U19" s="133" t="s">
        <v>34</v>
      </c>
      <c r="V19" s="134" t="e">
        <f>SUM(V6:V18)</f>
        <v>#REF!</v>
      </c>
      <c r="W19" s="135">
        <f>SUM(W7:W18)</f>
        <v>0</v>
      </c>
      <c r="X19" s="134">
        <f>SUM(X7:X18)</f>
        <v>0</v>
      </c>
      <c r="Y19" s="134">
        <f>SUM(Y7:Y18)</f>
        <v>0</v>
      </c>
      <c r="Z19" s="133" t="s">
        <v>34</v>
      </c>
      <c r="AA19" s="134" t="e">
        <f>SUM(AA6:AA18)</f>
        <v>#REF!</v>
      </c>
      <c r="AB19" s="135">
        <f>SUM(AB6:AB18)</f>
        <v>0</v>
      </c>
      <c r="AC19" s="134">
        <f>SUM(AC7:AC18)</f>
        <v>0</v>
      </c>
      <c r="AD19" s="134">
        <f>SUM(AD7:AD18)</f>
        <v>0</v>
      </c>
      <c r="AE19" s="142">
        <f>SUM(AE7:AE18)</f>
        <v>0</v>
      </c>
      <c r="AF19" s="143"/>
      <c r="AG19" s="133" t="s">
        <v>34</v>
      </c>
      <c r="AH19" s="134" t="e">
        <f>SUM(AH6:AH18)</f>
        <v>#REF!</v>
      </c>
      <c r="AI19" s="135">
        <f>SUM(AI6:AI18)</f>
        <v>0</v>
      </c>
      <c r="AJ19" s="134">
        <f>SUM(AJ7:AJ18)</f>
        <v>0</v>
      </c>
      <c r="AK19" s="133" t="s">
        <v>34</v>
      </c>
      <c r="AL19" s="134" t="e">
        <f>SUM(AL6:AL18)</f>
        <v>#REF!</v>
      </c>
      <c r="AM19" s="135">
        <f>SUM(AM7:AM18)</f>
        <v>0</v>
      </c>
      <c r="AN19" s="134">
        <f>SUM(AN7:AN18)</f>
        <v>0</v>
      </c>
      <c r="AO19" s="134">
        <f>SUM(AO7:AO18)</f>
        <v>0</v>
      </c>
      <c r="AP19" s="136">
        <f>SUM(AP7:AP18)</f>
        <v>0</v>
      </c>
      <c r="AQ19" s="133" t="s">
        <v>34</v>
      </c>
      <c r="AR19" s="140" t="e">
        <f>SUM(AR6:AR18)</f>
        <v>#REF!</v>
      </c>
      <c r="AS19" s="141">
        <f>SUM(AS7:AS18)</f>
        <v>0</v>
      </c>
      <c r="AT19" s="140">
        <f>SUM(AT7:AT18)</f>
        <v>0</v>
      </c>
      <c r="AU19" s="140">
        <f>SUM(AU7:AU18)</f>
        <v>0</v>
      </c>
      <c r="AV19" s="133" t="s">
        <v>34</v>
      </c>
      <c r="AW19" s="134" t="e">
        <f>SUM(AW6:AW18)</f>
        <v>#REF!</v>
      </c>
      <c r="AX19" s="135">
        <f>SUM(AX7:AX18)</f>
        <v>0</v>
      </c>
      <c r="AY19" s="134">
        <f>SUM(AY7:AY18)</f>
        <v>0</v>
      </c>
      <c r="AZ19" s="133" t="s">
        <v>34</v>
      </c>
      <c r="BA19" s="134">
        <v>80140</v>
      </c>
      <c r="BB19" s="135"/>
      <c r="BC19" s="134"/>
      <c r="BD19" s="135"/>
      <c r="BE19" s="134">
        <v>80140</v>
      </c>
      <c r="BF19" s="144"/>
      <c r="BG19" s="143"/>
      <c r="BH19" s="145"/>
      <c r="BI19" s="143"/>
      <c r="BK19" s="112"/>
      <c r="BL19" s="112"/>
      <c r="BM19" s="102"/>
      <c r="BN19" s="100"/>
      <c r="BO19" s="100"/>
      <c r="BV19" s="146"/>
      <c r="BW19" s="112"/>
      <c r="BX19" s="112"/>
      <c r="BY19" s="112"/>
      <c r="BZ19" s="112"/>
      <c r="CA19" s="112"/>
      <c r="CB19" s="101"/>
      <c r="CC19" s="100"/>
      <c r="CK19" s="146"/>
      <c r="CL19" s="112"/>
      <c r="CM19" s="112"/>
      <c r="CN19" s="112"/>
      <c r="CO19" s="112"/>
      <c r="CP19" s="112"/>
      <c r="CQ19" s="102"/>
      <c r="CR19" s="100"/>
      <c r="CS19" s="100"/>
      <c r="CT19" s="100"/>
      <c r="CZ19" s="146"/>
      <c r="DA19" s="112"/>
      <c r="DB19" s="112"/>
      <c r="DC19" s="112"/>
      <c r="DD19" s="112"/>
      <c r="DE19" s="112"/>
      <c r="DF19" s="113"/>
      <c r="DG19" s="100"/>
      <c r="DH19" s="100"/>
      <c r="DO19" s="146"/>
      <c r="DP19" s="112"/>
      <c r="DQ19" s="112"/>
      <c r="DR19" s="112"/>
      <c r="DS19" s="112"/>
      <c r="DT19" s="114"/>
      <c r="DU19" s="114"/>
      <c r="DV19" s="100"/>
      <c r="DW19" s="100"/>
      <c r="ED19" s="146"/>
      <c r="EE19" s="112"/>
      <c r="EF19" s="112"/>
      <c r="EG19" s="112"/>
      <c r="EH19" s="112"/>
      <c r="EI19" s="112"/>
      <c r="EJ19" s="102"/>
      <c r="EK19" s="100"/>
      <c r="EL19" s="127"/>
      <c r="EM19" s="100"/>
      <c r="EN19" s="100"/>
      <c r="EO19" s="100"/>
    </row>
    <row r="20" spans="1:145" ht="20.25">
      <c r="A20" s="147" t="s">
        <v>247</v>
      </c>
      <c r="B20" s="128"/>
      <c r="C20" s="112"/>
      <c r="D20" s="128"/>
      <c r="E20" s="129"/>
      <c r="F20" s="139" t="s">
        <v>246</v>
      </c>
      <c r="G20" s="116"/>
      <c r="H20" s="101"/>
      <c r="I20" s="116"/>
      <c r="J20" s="116"/>
      <c r="K20" s="216"/>
      <c r="L20" s="139" t="s">
        <v>246</v>
      </c>
      <c r="M20" s="116"/>
      <c r="N20" s="101"/>
      <c r="O20" s="116"/>
      <c r="P20" s="116"/>
      <c r="Q20" s="133" t="s">
        <v>248</v>
      </c>
      <c r="R20" s="128"/>
      <c r="S20" s="128"/>
      <c r="T20" s="128"/>
      <c r="U20" s="139" t="s">
        <v>246</v>
      </c>
      <c r="V20" s="116"/>
      <c r="W20" s="101"/>
      <c r="X20" s="116"/>
      <c r="Y20" s="116"/>
      <c r="Z20" s="139"/>
      <c r="AA20" s="116"/>
      <c r="AB20" s="101"/>
      <c r="AC20" s="116"/>
      <c r="AD20" s="116"/>
      <c r="AE20" s="116"/>
      <c r="AF20" s="122"/>
      <c r="AG20" s="139" t="s">
        <v>246</v>
      </c>
      <c r="AH20" s="116"/>
      <c r="AI20" s="101"/>
      <c r="AJ20" s="116"/>
      <c r="AK20" s="139" t="s">
        <v>246</v>
      </c>
      <c r="AL20" s="116"/>
      <c r="AM20" s="101"/>
      <c r="AN20" s="116"/>
      <c r="AO20" s="116"/>
      <c r="AP20" s="117"/>
      <c r="AQ20" s="139" t="s">
        <v>246</v>
      </c>
      <c r="AR20" s="116"/>
      <c r="AS20" s="101"/>
      <c r="AT20" s="116"/>
      <c r="AU20" s="116"/>
      <c r="AV20" s="139" t="s">
        <v>246</v>
      </c>
      <c r="AW20" s="116"/>
      <c r="AX20" s="101"/>
      <c r="AY20" s="116"/>
      <c r="AZ20" s="139" t="s">
        <v>249</v>
      </c>
      <c r="BA20" s="123"/>
      <c r="BB20" s="101"/>
      <c r="BC20" s="116"/>
      <c r="BD20" s="101"/>
      <c r="BE20" s="128"/>
      <c r="BF20" s="102"/>
      <c r="BG20" s="122"/>
      <c r="BI20" s="122"/>
      <c r="BK20" s="101"/>
      <c r="BL20" s="101"/>
      <c r="BM20" s="101"/>
      <c r="BN20" s="100"/>
      <c r="BO20" s="100"/>
      <c r="BV20" s="149"/>
      <c r="BW20" s="101"/>
      <c r="BX20" s="101"/>
      <c r="BY20" s="101"/>
      <c r="BZ20" s="101"/>
      <c r="CA20" s="101"/>
      <c r="CB20" s="101"/>
      <c r="CC20" s="100"/>
      <c r="CK20" s="149"/>
      <c r="CL20" s="101"/>
      <c r="CM20" s="101"/>
      <c r="CN20" s="101"/>
      <c r="CO20" s="101"/>
      <c r="CP20" s="101"/>
      <c r="CQ20" s="101"/>
      <c r="CR20" s="100"/>
      <c r="CS20" s="100"/>
      <c r="CT20" s="100"/>
      <c r="CZ20" s="149"/>
      <c r="DA20" s="101"/>
      <c r="DB20" s="101"/>
      <c r="DC20" s="101"/>
      <c r="DD20" s="101"/>
      <c r="DE20" s="101"/>
      <c r="DF20" s="101"/>
      <c r="DG20" s="100"/>
      <c r="DH20" s="100"/>
      <c r="DO20" s="149"/>
      <c r="DP20" s="101"/>
      <c r="DQ20" s="101"/>
      <c r="DR20" s="101"/>
      <c r="DS20" s="101"/>
      <c r="DT20" s="114"/>
      <c r="DU20" s="114"/>
      <c r="DV20" s="100"/>
      <c r="DW20" s="100"/>
      <c r="ED20" s="149"/>
      <c r="EE20" s="101"/>
      <c r="EF20" s="101"/>
      <c r="EG20" s="101"/>
      <c r="EH20" s="101"/>
      <c r="EI20" s="112"/>
      <c r="EJ20" s="102"/>
      <c r="EK20" s="100"/>
      <c r="EL20" s="100"/>
      <c r="EM20" s="100"/>
      <c r="EN20" s="100"/>
      <c r="EO20" s="100"/>
    </row>
    <row r="21" spans="1:145" ht="18.75" thickBot="1">
      <c r="A21" s="116" t="s">
        <v>247</v>
      </c>
      <c r="B21" s="116"/>
      <c r="C21" s="101"/>
      <c r="D21" s="116"/>
      <c r="E21" s="117"/>
      <c r="F21" s="147" t="s">
        <v>247</v>
      </c>
      <c r="G21" s="128"/>
      <c r="H21" s="112"/>
      <c r="I21" s="128"/>
      <c r="J21" s="128"/>
      <c r="K21" s="217"/>
      <c r="L21" s="147" t="s">
        <v>247</v>
      </c>
      <c r="M21" s="128"/>
      <c r="N21" s="112"/>
      <c r="O21" s="128"/>
      <c r="P21" s="128"/>
      <c r="Q21" s="116" t="s">
        <v>247</v>
      </c>
      <c r="R21" s="116"/>
      <c r="S21" s="116"/>
      <c r="T21" s="116"/>
      <c r="U21" s="147" t="s">
        <v>247</v>
      </c>
      <c r="V21" s="128"/>
      <c r="W21" s="112"/>
      <c r="X21" s="128"/>
      <c r="Y21" s="128"/>
      <c r="Z21" s="147" t="s">
        <v>250</v>
      </c>
      <c r="AA21" s="128"/>
      <c r="AB21" s="112"/>
      <c r="AC21" s="128"/>
      <c r="AD21" s="128"/>
      <c r="AE21" s="137"/>
      <c r="AF21" s="122"/>
      <c r="AG21" s="147" t="s">
        <v>247</v>
      </c>
      <c r="AH21" s="128"/>
      <c r="AI21" s="112"/>
      <c r="AJ21" s="128"/>
      <c r="AK21" s="147" t="s">
        <v>247</v>
      </c>
      <c r="AL21" s="128"/>
      <c r="AM21" s="112"/>
      <c r="AN21" s="128"/>
      <c r="AO21" s="128"/>
      <c r="AP21" s="129"/>
      <c r="AQ21" s="147" t="s">
        <v>247</v>
      </c>
      <c r="AR21" s="128"/>
      <c r="AS21" s="112"/>
      <c r="AT21" s="128"/>
      <c r="AU21" s="128"/>
      <c r="AV21" s="147" t="s">
        <v>247</v>
      </c>
      <c r="AW21" s="128"/>
      <c r="AX21" s="112"/>
      <c r="AY21" s="128"/>
      <c r="AZ21" s="147" t="s">
        <v>251</v>
      </c>
      <c r="BA21" s="128"/>
      <c r="BB21" s="112"/>
      <c r="BC21" s="128"/>
      <c r="BD21" s="112"/>
      <c r="BE21" s="116"/>
      <c r="BF21" s="101"/>
      <c r="BG21" s="122"/>
      <c r="BI21" s="122"/>
      <c r="BK21" s="112"/>
      <c r="BL21" s="112"/>
      <c r="BM21" s="102"/>
      <c r="BN21" s="100"/>
      <c r="BO21" s="100"/>
      <c r="BV21" s="131"/>
      <c r="BW21" s="112"/>
      <c r="BX21" s="112"/>
      <c r="BY21" s="112"/>
      <c r="BZ21" s="112"/>
      <c r="CA21" s="112"/>
      <c r="CB21" s="103"/>
      <c r="CC21" s="100"/>
      <c r="CK21" s="131"/>
      <c r="CL21" s="112"/>
      <c r="CM21" s="112"/>
      <c r="CN21" s="112"/>
      <c r="CO21" s="112"/>
      <c r="CP21" s="112"/>
      <c r="CQ21" s="102"/>
      <c r="CR21" s="100"/>
      <c r="CS21" s="100"/>
      <c r="CT21" s="100"/>
      <c r="CZ21" s="131"/>
      <c r="DA21" s="112"/>
      <c r="DB21" s="112"/>
      <c r="DC21" s="112"/>
      <c r="DD21" s="112"/>
      <c r="DE21" s="112"/>
      <c r="DF21" s="101"/>
      <c r="DG21" s="100"/>
      <c r="DH21" s="100"/>
      <c r="DO21" s="131"/>
      <c r="DP21" s="112"/>
      <c r="DQ21" s="112"/>
      <c r="DR21" s="112"/>
      <c r="DS21" s="112"/>
      <c r="DT21" s="114"/>
      <c r="DU21" s="114"/>
      <c r="DV21" s="100"/>
      <c r="DW21" s="100"/>
      <c r="ED21" s="131"/>
      <c r="EE21" s="112"/>
      <c r="EF21" s="112"/>
      <c r="EG21" s="112"/>
      <c r="EH21" s="112"/>
      <c r="EI21" s="101"/>
      <c r="EJ21" s="101"/>
      <c r="EK21" s="100"/>
      <c r="EL21" s="100"/>
      <c r="EM21" s="100"/>
      <c r="EN21" s="100"/>
      <c r="EO21" s="100"/>
    </row>
    <row r="22" spans="1:145" ht="18.75" thickBot="1">
      <c r="A22" s="116"/>
      <c r="B22" s="116"/>
      <c r="C22" s="101"/>
      <c r="D22" s="116"/>
      <c r="E22" s="117"/>
      <c r="F22" s="116" t="s">
        <v>247</v>
      </c>
      <c r="G22" s="116"/>
      <c r="H22" s="101"/>
      <c r="I22" s="116"/>
      <c r="J22" s="116"/>
      <c r="K22" s="216"/>
      <c r="L22" s="116" t="s">
        <v>247</v>
      </c>
      <c r="M22" s="116"/>
      <c r="N22" s="101"/>
      <c r="O22" s="116"/>
      <c r="P22" s="116"/>
      <c r="Q22" s="118" t="s">
        <v>34</v>
      </c>
      <c r="R22" s="119" t="e">
        <f>SUM(R19)</f>
        <v>#REF!</v>
      </c>
      <c r="S22" s="119">
        <f>SUM(S19)</f>
        <v>0</v>
      </c>
      <c r="T22" s="119">
        <f>SUM(T19)</f>
        <v>0</v>
      </c>
      <c r="U22" s="116" t="s">
        <v>247</v>
      </c>
      <c r="V22" s="116"/>
      <c r="W22" s="101"/>
      <c r="X22" s="116"/>
      <c r="Y22" s="116"/>
      <c r="Z22" s="116" t="s">
        <v>247</v>
      </c>
      <c r="AA22" s="116"/>
      <c r="AB22" s="101"/>
      <c r="AC22" s="116"/>
      <c r="AD22" s="116"/>
      <c r="AE22" s="137"/>
      <c r="AF22" s="122"/>
      <c r="AG22" s="116" t="s">
        <v>247</v>
      </c>
      <c r="AH22" s="116"/>
      <c r="AI22" s="101"/>
      <c r="AJ22" s="116"/>
      <c r="AK22" s="116" t="s">
        <v>247</v>
      </c>
      <c r="AL22" s="116"/>
      <c r="AM22" s="101"/>
      <c r="AN22" s="116"/>
      <c r="AO22" s="116"/>
      <c r="AP22" s="117"/>
      <c r="AQ22" s="116" t="s">
        <v>247</v>
      </c>
      <c r="AR22" s="116"/>
      <c r="AS22" s="101"/>
      <c r="AT22" s="116"/>
      <c r="AU22" s="116"/>
      <c r="AV22" s="116" t="s">
        <v>247</v>
      </c>
      <c r="AW22" s="116"/>
      <c r="AX22" s="101"/>
      <c r="AY22" s="116"/>
      <c r="AZ22" s="151" t="s">
        <v>252</v>
      </c>
      <c r="BA22" s="151"/>
      <c r="BB22" s="152"/>
      <c r="BC22" s="151"/>
      <c r="BD22" s="152"/>
      <c r="BE22" s="138"/>
      <c r="BF22" s="153"/>
      <c r="BG22" s="154"/>
      <c r="BH22" s="155"/>
      <c r="BI22" s="154"/>
      <c r="BK22" s="101"/>
      <c r="BL22" s="101"/>
      <c r="BM22" s="102"/>
      <c r="BN22" s="100"/>
      <c r="BO22" s="100"/>
      <c r="BV22" s="101"/>
      <c r="BW22" s="101"/>
      <c r="BX22" s="101"/>
      <c r="BY22" s="101"/>
      <c r="BZ22" s="101"/>
      <c r="CA22" s="101"/>
      <c r="CB22" s="101"/>
      <c r="CC22" s="100"/>
      <c r="CK22" s="101"/>
      <c r="CL22" s="101"/>
      <c r="CM22" s="101"/>
      <c r="CN22" s="101"/>
      <c r="CO22" s="101"/>
      <c r="CP22" s="101"/>
      <c r="CQ22" s="102"/>
      <c r="CR22" s="100"/>
      <c r="CS22" s="100"/>
      <c r="CT22" s="100"/>
      <c r="CZ22" s="101"/>
      <c r="DA22" s="101"/>
      <c r="DB22" s="101"/>
      <c r="DC22" s="101"/>
      <c r="DD22" s="101"/>
      <c r="DE22" s="101"/>
      <c r="DF22" s="101"/>
      <c r="DG22" s="100"/>
      <c r="DH22" s="100"/>
      <c r="DO22" s="101"/>
      <c r="DP22" s="101"/>
      <c r="DQ22" s="101"/>
      <c r="DR22" s="101"/>
      <c r="DS22" s="101"/>
      <c r="DT22" s="114"/>
      <c r="DU22" s="114"/>
      <c r="DV22" s="100"/>
      <c r="DW22" s="100"/>
      <c r="ED22" s="101"/>
      <c r="EE22" s="101"/>
      <c r="EF22" s="101"/>
      <c r="EG22" s="101"/>
      <c r="EH22" s="101"/>
      <c r="EI22" s="112"/>
      <c r="EJ22" s="102"/>
      <c r="EK22" s="100"/>
      <c r="EL22" s="100"/>
      <c r="EM22" s="100"/>
      <c r="EN22" s="100"/>
      <c r="EO22" s="100"/>
    </row>
    <row r="23" spans="1:145" ht="18.75" thickBot="1">
      <c r="A23" s="118" t="s">
        <v>34</v>
      </c>
      <c r="B23" s="156" t="e">
        <f>SUM(B18)</f>
        <v>#REF!</v>
      </c>
      <c r="C23" s="157">
        <f>SUM(C18)</f>
        <v>0</v>
      </c>
      <c r="D23" s="156">
        <f>SUM(D18)</f>
        <v>0</v>
      </c>
      <c r="E23" s="158">
        <f>SUM(E18)</f>
        <v>0</v>
      </c>
      <c r="F23" s="118" t="s">
        <v>34</v>
      </c>
      <c r="G23" s="119" t="e">
        <f>SUM(G19)</f>
        <v>#REF!</v>
      </c>
      <c r="H23" s="105">
        <f>SUM(H19)</f>
        <v>0</v>
      </c>
      <c r="I23" s="119">
        <f>SUM(I19)</f>
        <v>0</v>
      </c>
      <c r="J23" s="119">
        <f>SUM(J19)</f>
        <v>0</v>
      </c>
      <c r="K23" s="219"/>
      <c r="L23" s="159" t="s">
        <v>34</v>
      </c>
      <c r="M23" s="134"/>
      <c r="N23" s="135"/>
      <c r="O23" s="134"/>
      <c r="P23" s="134"/>
      <c r="T23" s="101"/>
      <c r="U23" s="118" t="s">
        <v>34</v>
      </c>
      <c r="V23" s="156" t="e">
        <f>SUM(V19)</f>
        <v>#REF!</v>
      </c>
      <c r="W23" s="157">
        <f>SUM(W19)</f>
        <v>0</v>
      </c>
      <c r="X23" s="156">
        <f>SUM(X19)</f>
        <v>0</v>
      </c>
      <c r="Y23" s="156">
        <f>SUM(Y19)</f>
        <v>0</v>
      </c>
      <c r="Z23" s="118" t="s">
        <v>34</v>
      </c>
      <c r="AA23" s="156" t="e">
        <f>SUM(AA19)</f>
        <v>#REF!</v>
      </c>
      <c r="AB23" s="157">
        <f>SUM(AB19)</f>
        <v>0</v>
      </c>
      <c r="AC23" s="156">
        <f>SUM(AC19)</f>
        <v>0</v>
      </c>
      <c r="AD23" s="156">
        <f>SUM(AD19)</f>
        <v>0</v>
      </c>
      <c r="AE23" s="142">
        <f>SUM(AE19)</f>
        <v>0</v>
      </c>
      <c r="AF23" s="143"/>
      <c r="AG23" s="118" t="s">
        <v>34</v>
      </c>
      <c r="AH23" s="156" t="e">
        <f>SUM(AH19)</f>
        <v>#REF!</v>
      </c>
      <c r="AI23" s="157">
        <f>SUM(AI19)</f>
        <v>0</v>
      </c>
      <c r="AJ23" s="156">
        <f>SUM(AJ19)</f>
        <v>0</v>
      </c>
      <c r="AK23" s="118" t="s">
        <v>34</v>
      </c>
      <c r="AL23" s="156"/>
      <c r="AM23" s="135"/>
      <c r="AN23" s="156">
        <v>0</v>
      </c>
      <c r="AO23" s="156"/>
      <c r="AP23" s="158"/>
      <c r="AQ23" s="118" t="s">
        <v>34</v>
      </c>
      <c r="AR23" s="119" t="e">
        <f>SUM(AR19)</f>
        <v>#REF!</v>
      </c>
      <c r="AS23" s="105">
        <f>SUM(AS19)</f>
        <v>0</v>
      </c>
      <c r="AT23" s="119">
        <f>SUM(AT19)</f>
        <v>0</v>
      </c>
      <c r="AU23" s="119">
        <f>SUM(AU19)</f>
        <v>0</v>
      </c>
      <c r="AV23" s="118" t="s">
        <v>34</v>
      </c>
      <c r="AW23" s="156" t="e">
        <f>SUM(AW19)</f>
        <v>#REF!</v>
      </c>
      <c r="AX23" s="157">
        <f>SUM(AX19)</f>
        <v>0</v>
      </c>
      <c r="AY23" s="156">
        <f>SUM(AY19)</f>
        <v>0</v>
      </c>
      <c r="AZ23" s="101"/>
      <c r="BA23" s="176"/>
      <c r="BB23" s="176"/>
      <c r="BG23" s="113"/>
      <c r="BH23" s="101"/>
      <c r="BI23" s="101"/>
      <c r="BJ23" s="101"/>
      <c r="BK23" s="101"/>
      <c r="BL23" s="101"/>
      <c r="BM23" s="102"/>
      <c r="BN23" s="100"/>
      <c r="BO23" s="100"/>
      <c r="BV23" s="113"/>
      <c r="BW23" s="101"/>
      <c r="BX23" s="101"/>
      <c r="BY23" s="101"/>
      <c r="BZ23" s="101"/>
      <c r="CA23" s="101"/>
      <c r="CB23" s="100"/>
      <c r="CC23" s="100"/>
      <c r="CK23" s="113"/>
      <c r="CL23" s="101"/>
      <c r="CM23" s="101"/>
      <c r="CN23" s="101"/>
      <c r="CO23" s="101"/>
      <c r="CP23" s="101"/>
      <c r="CQ23" s="102"/>
      <c r="CR23" s="100"/>
      <c r="CS23" s="100"/>
      <c r="CT23" s="100"/>
      <c r="CZ23" s="113"/>
      <c r="DA23" s="101"/>
      <c r="DB23" s="101"/>
      <c r="DC23" s="101"/>
      <c r="DD23" s="101"/>
      <c r="DE23" s="101"/>
      <c r="DF23" s="101"/>
      <c r="DG23" s="100"/>
      <c r="DH23" s="100"/>
      <c r="DO23" s="113"/>
      <c r="DP23" s="101"/>
      <c r="DQ23" s="101"/>
      <c r="DR23" s="101"/>
      <c r="DS23" s="101"/>
      <c r="DT23" s="114"/>
      <c r="DU23" s="114"/>
      <c r="DV23" s="100"/>
      <c r="DW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</row>
    <row r="24" spans="12:145" ht="18">
      <c r="L24" s="146"/>
      <c r="M24" s="112"/>
      <c r="N24" s="112"/>
      <c r="O24" s="112"/>
      <c r="P24" s="100"/>
      <c r="T24" s="100"/>
      <c r="AE24" s="100"/>
      <c r="AF24" s="100"/>
      <c r="AG24" s="100"/>
      <c r="AH24" s="100"/>
      <c r="AI24" s="100"/>
      <c r="AJ24" s="100"/>
      <c r="AK24" s="100"/>
      <c r="AL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V24" s="100"/>
      <c r="BW24" s="100"/>
      <c r="BX24" s="100"/>
      <c r="BY24" s="100"/>
      <c r="BZ24" s="100"/>
      <c r="CA24" s="100"/>
      <c r="CB24" s="100"/>
      <c r="CC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</row>
    <row r="25" spans="134:145" ht="18"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</row>
    <row r="26" s="177" customFormat="1" ht="18"/>
    <row r="27" s="177" customFormat="1" ht="18"/>
    <row r="29" spans="1:61" ht="18">
      <c r="A29" s="840" t="s">
        <v>71</v>
      </c>
      <c r="B29" s="840"/>
      <c r="C29" s="840"/>
      <c r="D29" s="840"/>
      <c r="E29" s="840"/>
      <c r="F29" s="840" t="s">
        <v>30</v>
      </c>
      <c r="G29" s="840"/>
      <c r="H29" s="840"/>
      <c r="I29" s="840"/>
      <c r="J29" s="840"/>
      <c r="K29" s="212"/>
      <c r="L29" s="840" t="s">
        <v>30</v>
      </c>
      <c r="M29" s="840"/>
      <c r="N29" s="840"/>
      <c r="O29" s="840"/>
      <c r="P29" s="840"/>
      <c r="Q29" s="840" t="s">
        <v>30</v>
      </c>
      <c r="R29" s="840"/>
      <c r="S29" s="840"/>
      <c r="T29" s="840"/>
      <c r="Z29" s="840" t="s">
        <v>30</v>
      </c>
      <c r="AA29" s="840"/>
      <c r="AB29" s="840"/>
      <c r="AC29" s="840"/>
      <c r="AD29" s="840"/>
      <c r="AE29" s="840"/>
      <c r="AF29" s="839"/>
      <c r="AG29" s="837" t="s">
        <v>185</v>
      </c>
      <c r="AH29" s="840"/>
      <c r="AI29" s="840"/>
      <c r="AJ29" s="838"/>
      <c r="AK29" s="838" t="s">
        <v>185</v>
      </c>
      <c r="AL29" s="838"/>
      <c r="AM29" s="838"/>
      <c r="AN29" s="838"/>
      <c r="AO29" s="838"/>
      <c r="AP29" s="838"/>
      <c r="AQ29" s="838" t="s">
        <v>71</v>
      </c>
      <c r="AR29" s="840"/>
      <c r="AS29" s="840"/>
      <c r="AT29" s="840"/>
      <c r="AU29" s="839"/>
      <c r="AV29" s="837" t="s">
        <v>30</v>
      </c>
      <c r="AW29" s="840"/>
      <c r="AX29" s="840"/>
      <c r="AY29" s="840"/>
      <c r="AZ29" s="840" t="s">
        <v>71</v>
      </c>
      <c r="BA29" s="840"/>
      <c r="BB29" s="840"/>
      <c r="BC29" s="840"/>
      <c r="BD29" s="840"/>
      <c r="BE29" s="840"/>
      <c r="BF29" s="840"/>
      <c r="BG29" s="840"/>
      <c r="BH29" s="840"/>
      <c r="BI29" s="840"/>
    </row>
    <row r="30" spans="1:61" ht="18">
      <c r="A30" s="840" t="s">
        <v>186</v>
      </c>
      <c r="B30" s="840"/>
      <c r="C30" s="840"/>
      <c r="D30" s="840"/>
      <c r="E30" s="840"/>
      <c r="F30" s="840" t="s">
        <v>253</v>
      </c>
      <c r="G30" s="840"/>
      <c r="H30" s="840"/>
      <c r="I30" s="840"/>
      <c r="J30" s="840"/>
      <c r="K30" s="212"/>
      <c r="L30" s="840" t="s">
        <v>188</v>
      </c>
      <c r="M30" s="840"/>
      <c r="N30" s="840"/>
      <c r="O30" s="840"/>
      <c r="P30" s="840"/>
      <c r="Q30" s="840" t="s">
        <v>189</v>
      </c>
      <c r="R30" s="840"/>
      <c r="S30" s="840"/>
      <c r="T30" s="840"/>
      <c r="Z30" s="840" t="s">
        <v>191</v>
      </c>
      <c r="AA30" s="840"/>
      <c r="AB30" s="840"/>
      <c r="AC30" s="840"/>
      <c r="AD30" s="840"/>
      <c r="AE30" s="840"/>
      <c r="AF30" s="839"/>
      <c r="AG30" s="837" t="s">
        <v>192</v>
      </c>
      <c r="AH30" s="838"/>
      <c r="AI30" s="838"/>
      <c r="AJ30" s="838"/>
      <c r="AK30" s="838" t="s">
        <v>193</v>
      </c>
      <c r="AL30" s="838"/>
      <c r="AM30" s="838"/>
      <c r="AN30" s="838"/>
      <c r="AO30" s="838"/>
      <c r="AP30" s="838"/>
      <c r="AQ30" s="838" t="s">
        <v>194</v>
      </c>
      <c r="AR30" s="838"/>
      <c r="AS30" s="838"/>
      <c r="AT30" s="838"/>
      <c r="AU30" s="839"/>
      <c r="AV30" s="837" t="s">
        <v>195</v>
      </c>
      <c r="AW30" s="838"/>
      <c r="AX30" s="838"/>
      <c r="AY30" s="839"/>
      <c r="AZ30" s="837" t="s">
        <v>196</v>
      </c>
      <c r="BA30" s="838"/>
      <c r="BB30" s="838"/>
      <c r="BC30" s="838"/>
      <c r="BD30" s="838"/>
      <c r="BE30" s="838"/>
      <c r="BF30" s="838"/>
      <c r="BG30" s="838"/>
      <c r="BH30" s="838"/>
      <c r="BI30" s="838"/>
    </row>
    <row r="31" spans="1:61" ht="18.75" thickBot="1">
      <c r="A31" s="834" t="s">
        <v>254</v>
      </c>
      <c r="B31" s="834"/>
      <c r="C31" s="834"/>
      <c r="D31" s="834"/>
      <c r="E31" s="835"/>
      <c r="F31" s="836" t="s">
        <v>255</v>
      </c>
      <c r="G31" s="834"/>
      <c r="H31" s="834"/>
      <c r="I31" s="834"/>
      <c r="J31" s="835"/>
      <c r="K31" s="213"/>
      <c r="L31" s="836" t="s">
        <v>197</v>
      </c>
      <c r="M31" s="834"/>
      <c r="N31" s="834"/>
      <c r="O31" s="834"/>
      <c r="P31" s="834"/>
      <c r="Q31" s="838" t="s">
        <v>197</v>
      </c>
      <c r="R31" s="838"/>
      <c r="S31" s="838"/>
      <c r="T31" s="838"/>
      <c r="Z31" s="834" t="s">
        <v>256</v>
      </c>
      <c r="AA31" s="834"/>
      <c r="AB31" s="834"/>
      <c r="AC31" s="834"/>
      <c r="AD31" s="834"/>
      <c r="AE31" s="834"/>
      <c r="AF31" s="835"/>
      <c r="AG31" s="836" t="s">
        <v>257</v>
      </c>
      <c r="AH31" s="834"/>
      <c r="AI31" s="834"/>
      <c r="AJ31" s="834"/>
      <c r="AK31" s="834" t="s">
        <v>258</v>
      </c>
      <c r="AL31" s="834"/>
      <c r="AM31" s="834"/>
      <c r="AN31" s="834"/>
      <c r="AO31" s="834"/>
      <c r="AP31" s="834"/>
      <c r="AQ31" s="834" t="s">
        <v>259</v>
      </c>
      <c r="AR31" s="834"/>
      <c r="AS31" s="834"/>
      <c r="AT31" s="834"/>
      <c r="AU31" s="835"/>
      <c r="AV31" s="836" t="s">
        <v>260</v>
      </c>
      <c r="AW31" s="834"/>
      <c r="AX31" s="834"/>
      <c r="AY31" s="835"/>
      <c r="AZ31" s="836" t="s">
        <v>261</v>
      </c>
      <c r="BA31" s="834"/>
      <c r="BB31" s="834"/>
      <c r="BC31" s="834"/>
      <c r="BD31" s="834"/>
      <c r="BE31" s="834"/>
      <c r="BF31" s="834"/>
      <c r="BG31" s="834"/>
      <c r="BH31" s="834"/>
      <c r="BI31" s="834"/>
    </row>
    <row r="32" spans="1:61" ht="18.75" thickBot="1">
      <c r="A32" s="119" t="s">
        <v>32</v>
      </c>
      <c r="B32" s="119" t="s">
        <v>33</v>
      </c>
      <c r="C32" s="105" t="s">
        <v>34</v>
      </c>
      <c r="D32" s="119" t="s">
        <v>199</v>
      </c>
      <c r="E32" s="106" t="s">
        <v>200</v>
      </c>
      <c r="F32" s="104" t="s">
        <v>32</v>
      </c>
      <c r="G32" s="170" t="s">
        <v>33</v>
      </c>
      <c r="H32" s="104" t="s">
        <v>34</v>
      </c>
      <c r="I32" s="104" t="s">
        <v>201</v>
      </c>
      <c r="J32" s="104" t="s">
        <v>202</v>
      </c>
      <c r="K32" s="220"/>
      <c r="L32" s="104" t="s">
        <v>32</v>
      </c>
      <c r="M32" s="170" t="s">
        <v>33</v>
      </c>
      <c r="N32" s="104" t="s">
        <v>34</v>
      </c>
      <c r="O32" s="170" t="s">
        <v>199</v>
      </c>
      <c r="P32" s="104" t="s">
        <v>203</v>
      </c>
      <c r="Q32" s="178" t="s">
        <v>32</v>
      </c>
      <c r="R32" s="179" t="s">
        <v>33</v>
      </c>
      <c r="S32" s="178" t="s">
        <v>34</v>
      </c>
      <c r="T32" s="179" t="s">
        <v>199</v>
      </c>
      <c r="Z32" s="104" t="s">
        <v>32</v>
      </c>
      <c r="AA32" s="170" t="s">
        <v>33</v>
      </c>
      <c r="AB32" s="104" t="s">
        <v>34</v>
      </c>
      <c r="AC32" s="170" t="s">
        <v>199</v>
      </c>
      <c r="AD32" s="104" t="s">
        <v>205</v>
      </c>
      <c r="AE32" s="104" t="s">
        <v>206</v>
      </c>
      <c r="AF32" s="171" t="s">
        <v>207</v>
      </c>
      <c r="AG32" s="104" t="s">
        <v>32</v>
      </c>
      <c r="AH32" s="170" t="s">
        <v>33</v>
      </c>
      <c r="AI32" s="104" t="s">
        <v>34</v>
      </c>
      <c r="AJ32" s="104" t="s">
        <v>208</v>
      </c>
      <c r="AK32" s="104" t="s">
        <v>32</v>
      </c>
      <c r="AL32" s="170" t="s">
        <v>33</v>
      </c>
      <c r="AM32" s="104" t="s">
        <v>34</v>
      </c>
      <c r="AN32" s="170" t="s">
        <v>199</v>
      </c>
      <c r="AO32" s="104" t="s">
        <v>209</v>
      </c>
      <c r="AP32" s="172" t="s">
        <v>210</v>
      </c>
      <c r="AQ32" s="172" t="s">
        <v>32</v>
      </c>
      <c r="AR32" s="170" t="s">
        <v>33</v>
      </c>
      <c r="AS32" s="104" t="s">
        <v>34</v>
      </c>
      <c r="AT32" s="170" t="s">
        <v>262</v>
      </c>
      <c r="AU32" s="104" t="s">
        <v>212</v>
      </c>
      <c r="AV32" s="104" t="s">
        <v>32</v>
      </c>
      <c r="AW32" s="170" t="s">
        <v>33</v>
      </c>
      <c r="AX32" s="104" t="s">
        <v>34</v>
      </c>
      <c r="AY32" s="104" t="s">
        <v>2</v>
      </c>
      <c r="AZ32" s="104" t="s">
        <v>213</v>
      </c>
      <c r="BA32" s="104" t="s">
        <v>34</v>
      </c>
      <c r="BB32" s="105" t="s">
        <v>214</v>
      </c>
      <c r="BC32" s="106"/>
      <c r="BD32" s="107" t="s">
        <v>215</v>
      </c>
      <c r="BE32" s="108"/>
      <c r="BF32" s="109" t="s">
        <v>216</v>
      </c>
      <c r="BG32" s="110"/>
      <c r="BH32" s="111" t="s">
        <v>217</v>
      </c>
      <c r="BI32" s="110"/>
    </row>
    <row r="33" spans="1:61" ht="18.75" thickBot="1">
      <c r="A33" s="115" t="s">
        <v>218</v>
      </c>
      <c r="B33" s="116"/>
      <c r="C33" s="101"/>
      <c r="D33" s="116"/>
      <c r="E33" s="117"/>
      <c r="F33" s="118"/>
      <c r="G33" s="173"/>
      <c r="H33" s="118"/>
      <c r="I33" s="118" t="s">
        <v>219</v>
      </c>
      <c r="J33" s="118" t="s">
        <v>220</v>
      </c>
      <c r="K33" s="221"/>
      <c r="L33" s="118"/>
      <c r="M33" s="173"/>
      <c r="N33" s="118"/>
      <c r="O33" s="173" t="s">
        <v>221</v>
      </c>
      <c r="P33" s="118" t="s">
        <v>222</v>
      </c>
      <c r="Q33" s="118"/>
      <c r="R33" s="173"/>
      <c r="S33" s="118"/>
      <c r="T33" s="173" t="s">
        <v>7</v>
      </c>
      <c r="Z33" s="118"/>
      <c r="AA33" s="173"/>
      <c r="AB33" s="118"/>
      <c r="AC33" s="173"/>
      <c r="AD33" s="118"/>
      <c r="AE33" s="118" t="s">
        <v>223</v>
      </c>
      <c r="AF33" s="174"/>
      <c r="AG33" s="118"/>
      <c r="AH33" s="173"/>
      <c r="AI33" s="118"/>
      <c r="AJ33" s="118" t="s">
        <v>224</v>
      </c>
      <c r="AK33" s="118"/>
      <c r="AL33" s="173"/>
      <c r="AM33" s="118"/>
      <c r="AN33" s="173" t="s">
        <v>225</v>
      </c>
      <c r="AO33" s="118" t="s">
        <v>9</v>
      </c>
      <c r="AP33" s="175" t="s">
        <v>226</v>
      </c>
      <c r="AQ33" s="175"/>
      <c r="AR33" s="173"/>
      <c r="AS33" s="118"/>
      <c r="AT33" s="173"/>
      <c r="AU33" s="118"/>
      <c r="AV33" s="118"/>
      <c r="AW33" s="173"/>
      <c r="AX33" s="118"/>
      <c r="AY33" s="118"/>
      <c r="AZ33" s="118"/>
      <c r="BA33" s="118"/>
      <c r="BB33" s="105" t="s">
        <v>227</v>
      </c>
      <c r="BC33" s="119" t="s">
        <v>3</v>
      </c>
      <c r="BD33" s="106" t="s">
        <v>228</v>
      </c>
      <c r="BE33" s="119" t="s">
        <v>199</v>
      </c>
      <c r="BF33" s="118" t="s">
        <v>229</v>
      </c>
      <c r="BG33" s="120" t="s">
        <v>3</v>
      </c>
      <c r="BH33" s="121" t="s">
        <v>230</v>
      </c>
      <c r="BI33" s="120" t="s">
        <v>3</v>
      </c>
    </row>
    <row r="34" spans="1:61" ht="18">
      <c r="A34" s="122" t="s">
        <v>231</v>
      </c>
      <c r="B34" s="116">
        <v>3764990</v>
      </c>
      <c r="C34" s="101">
        <v>2241020</v>
      </c>
      <c r="D34" s="116">
        <v>1433980</v>
      </c>
      <c r="E34" s="117">
        <v>497080</v>
      </c>
      <c r="F34" s="115" t="s">
        <v>218</v>
      </c>
      <c r="G34" s="116">
        <v>271760</v>
      </c>
      <c r="H34" s="101">
        <v>236070</v>
      </c>
      <c r="I34" s="116"/>
      <c r="J34" s="116">
        <v>199020</v>
      </c>
      <c r="K34" s="216"/>
      <c r="L34" s="115" t="s">
        <v>218</v>
      </c>
      <c r="M34" s="116"/>
      <c r="N34" s="101"/>
      <c r="O34" s="116"/>
      <c r="P34" s="116"/>
      <c r="Q34" s="160" t="s">
        <v>218</v>
      </c>
      <c r="R34" s="123"/>
      <c r="S34" s="161"/>
      <c r="T34" s="123"/>
      <c r="Z34" s="115" t="s">
        <v>218</v>
      </c>
      <c r="AA34" s="116"/>
      <c r="AB34" s="101"/>
      <c r="AC34" s="116"/>
      <c r="AD34" s="116"/>
      <c r="AE34" s="116"/>
      <c r="AF34" s="122"/>
      <c r="AG34" s="115" t="s">
        <v>218</v>
      </c>
      <c r="AH34" s="116"/>
      <c r="AI34" s="101"/>
      <c r="AJ34" s="116"/>
      <c r="AK34" s="115" t="s">
        <v>218</v>
      </c>
      <c r="AL34" s="116"/>
      <c r="AM34" s="101"/>
      <c r="AN34" s="116"/>
      <c r="AO34" s="116"/>
      <c r="AP34" s="117"/>
      <c r="AQ34" s="115" t="s">
        <v>218</v>
      </c>
      <c r="AR34" s="116"/>
      <c r="AS34" s="101"/>
      <c r="AT34" s="116"/>
      <c r="AU34" s="116"/>
      <c r="AV34" s="115" t="s">
        <v>218</v>
      </c>
      <c r="AW34" s="116"/>
      <c r="AX34" s="101"/>
      <c r="AY34" s="116"/>
      <c r="AZ34" s="115" t="s">
        <v>218</v>
      </c>
      <c r="BA34" s="123"/>
      <c r="BB34" s="101"/>
      <c r="BC34" s="116"/>
      <c r="BD34" s="101"/>
      <c r="BE34" s="104"/>
      <c r="BF34" s="113"/>
      <c r="BG34" s="124"/>
      <c r="BH34" s="125"/>
      <c r="BI34" s="124"/>
    </row>
    <row r="35" spans="1:61" ht="18">
      <c r="A35" s="122" t="s">
        <v>232</v>
      </c>
      <c r="B35" s="116" t="s">
        <v>27</v>
      </c>
      <c r="C35" s="101" t="s">
        <v>27</v>
      </c>
      <c r="D35" s="116" t="s">
        <v>27</v>
      </c>
      <c r="E35" s="117" t="s">
        <v>27</v>
      </c>
      <c r="F35" s="122" t="s">
        <v>231</v>
      </c>
      <c r="G35" s="116">
        <v>208100</v>
      </c>
      <c r="H35" s="101">
        <v>207480</v>
      </c>
      <c r="I35" s="116">
        <v>0</v>
      </c>
      <c r="J35" s="116">
        <v>101400</v>
      </c>
      <c r="K35" s="216"/>
      <c r="L35" s="122" t="s">
        <v>231</v>
      </c>
      <c r="M35" s="116">
        <v>1022170</v>
      </c>
      <c r="N35" s="101">
        <v>588070</v>
      </c>
      <c r="O35" s="116">
        <v>588070</v>
      </c>
      <c r="P35" s="116">
        <v>0</v>
      </c>
      <c r="Q35" s="122" t="s">
        <v>231</v>
      </c>
      <c r="R35" s="116">
        <v>917700</v>
      </c>
      <c r="S35" s="116">
        <v>409328</v>
      </c>
      <c r="T35" s="116">
        <v>409328</v>
      </c>
      <c r="Z35" s="122" t="s">
        <v>231</v>
      </c>
      <c r="AA35" s="116">
        <v>756160</v>
      </c>
      <c r="AB35" s="101">
        <v>475805</v>
      </c>
      <c r="AC35" s="116">
        <v>475805</v>
      </c>
      <c r="AD35" s="116" t="s">
        <v>27</v>
      </c>
      <c r="AE35" s="116" t="s">
        <v>27</v>
      </c>
      <c r="AF35" s="122"/>
      <c r="AG35" s="122" t="s">
        <v>231</v>
      </c>
      <c r="AH35" s="116">
        <v>569770</v>
      </c>
      <c r="AI35" s="101">
        <v>342840</v>
      </c>
      <c r="AJ35" s="116">
        <v>0</v>
      </c>
      <c r="AK35" s="122" t="s">
        <v>231</v>
      </c>
      <c r="AL35" s="116">
        <v>0</v>
      </c>
      <c r="AM35" s="101">
        <v>0</v>
      </c>
      <c r="AN35" s="116">
        <v>0</v>
      </c>
      <c r="AO35" s="116">
        <v>0</v>
      </c>
      <c r="AP35" s="117">
        <v>0</v>
      </c>
      <c r="AQ35" s="122" t="s">
        <v>231</v>
      </c>
      <c r="AR35" s="116">
        <v>0</v>
      </c>
      <c r="AS35" s="101">
        <v>0</v>
      </c>
      <c r="AT35" s="116">
        <v>0</v>
      </c>
      <c r="AU35" s="116">
        <v>0</v>
      </c>
      <c r="AV35" s="122" t="s">
        <v>231</v>
      </c>
      <c r="AW35" s="116">
        <v>0</v>
      </c>
      <c r="AX35" s="101">
        <v>0</v>
      </c>
      <c r="AY35" s="116">
        <v>0</v>
      </c>
      <c r="AZ35" s="122" t="s">
        <v>231</v>
      </c>
      <c r="BA35" s="116"/>
      <c r="BB35" s="101"/>
      <c r="BC35" s="116"/>
      <c r="BD35" s="101"/>
      <c r="BE35" s="116"/>
      <c r="BF35" s="101"/>
      <c r="BG35" s="122"/>
      <c r="BH35" s="125"/>
      <c r="BI35" s="122"/>
    </row>
    <row r="36" spans="1:61" ht="18">
      <c r="A36" s="122" t="s">
        <v>233</v>
      </c>
      <c r="B36" s="116">
        <v>919500</v>
      </c>
      <c r="C36" s="101">
        <v>509880</v>
      </c>
      <c r="D36" s="128">
        <v>247420</v>
      </c>
      <c r="E36" s="129">
        <v>168860</v>
      </c>
      <c r="F36" s="122" t="s">
        <v>232</v>
      </c>
      <c r="G36" s="116">
        <v>420820</v>
      </c>
      <c r="H36" s="101">
        <v>168865.44</v>
      </c>
      <c r="I36" s="128">
        <v>0</v>
      </c>
      <c r="J36" s="128">
        <v>168865.44</v>
      </c>
      <c r="K36" s="217"/>
      <c r="L36" s="122" t="s">
        <v>232</v>
      </c>
      <c r="M36" s="128">
        <v>0</v>
      </c>
      <c r="N36" s="128">
        <v>0</v>
      </c>
      <c r="O36" s="128">
        <v>0</v>
      </c>
      <c r="P36" s="128">
        <v>0</v>
      </c>
      <c r="Q36" s="122" t="s">
        <v>232</v>
      </c>
      <c r="R36" s="116">
        <v>421200</v>
      </c>
      <c r="S36" s="128">
        <v>280800</v>
      </c>
      <c r="T36" s="128">
        <v>280800</v>
      </c>
      <c r="Z36" s="122" t="s">
        <v>232</v>
      </c>
      <c r="AA36" s="116">
        <v>252480</v>
      </c>
      <c r="AB36" s="101">
        <v>162680</v>
      </c>
      <c r="AC36" s="128">
        <v>162680</v>
      </c>
      <c r="AD36" s="116" t="s">
        <v>27</v>
      </c>
      <c r="AE36" s="116" t="s">
        <v>27</v>
      </c>
      <c r="AF36" s="122"/>
      <c r="AG36" s="122" t="s">
        <v>232</v>
      </c>
      <c r="AH36" s="116">
        <v>0</v>
      </c>
      <c r="AI36" s="116">
        <v>0</v>
      </c>
      <c r="AJ36" s="128">
        <v>0</v>
      </c>
      <c r="AK36" s="122" t="s">
        <v>232</v>
      </c>
      <c r="AL36" s="116">
        <v>0</v>
      </c>
      <c r="AM36" s="101">
        <v>0</v>
      </c>
      <c r="AN36" s="128">
        <v>0</v>
      </c>
      <c r="AO36" s="128">
        <v>0</v>
      </c>
      <c r="AP36" s="129">
        <v>0</v>
      </c>
      <c r="AQ36" s="122" t="s">
        <v>232</v>
      </c>
      <c r="AR36" s="116">
        <v>0</v>
      </c>
      <c r="AS36" s="101">
        <v>0</v>
      </c>
      <c r="AT36" s="128">
        <v>0</v>
      </c>
      <c r="AU36" s="128">
        <v>0</v>
      </c>
      <c r="AV36" s="122" t="s">
        <v>232</v>
      </c>
      <c r="AW36" s="116">
        <v>0</v>
      </c>
      <c r="AX36" s="101">
        <v>0</v>
      </c>
      <c r="AY36" s="128">
        <v>0</v>
      </c>
      <c r="AZ36" s="122" t="s">
        <v>232</v>
      </c>
      <c r="BA36" s="116"/>
      <c r="BB36" s="101"/>
      <c r="BC36" s="128"/>
      <c r="BD36" s="112"/>
      <c r="BE36" s="116"/>
      <c r="BF36" s="101"/>
      <c r="BG36" s="122"/>
      <c r="BH36" s="125"/>
      <c r="BI36" s="122"/>
    </row>
    <row r="37" spans="1:61" ht="18">
      <c r="A37" s="130" t="s">
        <v>234</v>
      </c>
      <c r="B37" s="116">
        <v>3405600</v>
      </c>
      <c r="C37" s="112">
        <v>1075266</v>
      </c>
      <c r="D37" s="128">
        <v>991625</v>
      </c>
      <c r="E37" s="129">
        <v>43196</v>
      </c>
      <c r="F37" s="122" t="s">
        <v>233</v>
      </c>
      <c r="G37" s="116">
        <v>285850</v>
      </c>
      <c r="H37" s="112">
        <v>198541</v>
      </c>
      <c r="I37" s="128">
        <v>0</v>
      </c>
      <c r="J37" s="128">
        <v>182561</v>
      </c>
      <c r="K37" s="217"/>
      <c r="L37" s="122" t="s">
        <v>233</v>
      </c>
      <c r="M37" s="116">
        <v>1572560</v>
      </c>
      <c r="N37" s="101">
        <v>664408</v>
      </c>
      <c r="O37" s="128">
        <v>664408</v>
      </c>
      <c r="P37" s="128">
        <v>0</v>
      </c>
      <c r="Q37" s="122" t="s">
        <v>233</v>
      </c>
      <c r="R37" s="116">
        <v>407040</v>
      </c>
      <c r="S37" s="128">
        <v>262400</v>
      </c>
      <c r="T37" s="128">
        <v>262400</v>
      </c>
      <c r="Z37" s="122" t="s">
        <v>233</v>
      </c>
      <c r="AA37" s="116">
        <v>2220920</v>
      </c>
      <c r="AB37" s="101">
        <v>1143520</v>
      </c>
      <c r="AC37" s="128">
        <v>801360</v>
      </c>
      <c r="AD37" s="116" t="s">
        <v>27</v>
      </c>
      <c r="AE37" s="116">
        <v>342160</v>
      </c>
      <c r="AF37" s="122"/>
      <c r="AG37" s="122" t="s">
        <v>233</v>
      </c>
      <c r="AH37" s="116">
        <v>98400</v>
      </c>
      <c r="AI37" s="101">
        <v>65600</v>
      </c>
      <c r="AJ37" s="128">
        <v>0</v>
      </c>
      <c r="AK37" s="122" t="s">
        <v>233</v>
      </c>
      <c r="AL37" s="116">
        <v>0</v>
      </c>
      <c r="AM37" s="101">
        <v>0</v>
      </c>
      <c r="AN37" s="128">
        <v>0</v>
      </c>
      <c r="AO37" s="128">
        <v>0</v>
      </c>
      <c r="AP37" s="129">
        <v>0</v>
      </c>
      <c r="AQ37" s="122" t="s">
        <v>233</v>
      </c>
      <c r="AR37" s="116">
        <v>0</v>
      </c>
      <c r="AS37" s="101">
        <v>0</v>
      </c>
      <c r="AT37" s="128">
        <v>0</v>
      </c>
      <c r="AU37" s="128">
        <v>0</v>
      </c>
      <c r="AV37" s="122" t="s">
        <v>233</v>
      </c>
      <c r="AW37" s="116">
        <v>0</v>
      </c>
      <c r="AX37" s="101">
        <v>0</v>
      </c>
      <c r="AY37" s="128">
        <v>0</v>
      </c>
      <c r="AZ37" s="122" t="s">
        <v>233</v>
      </c>
      <c r="BA37" s="116"/>
      <c r="BB37" s="101"/>
      <c r="BC37" s="128"/>
      <c r="BD37" s="112"/>
      <c r="BE37" s="128"/>
      <c r="BF37" s="101"/>
      <c r="BG37" s="122"/>
      <c r="BH37" s="125"/>
      <c r="BI37" s="122"/>
    </row>
    <row r="38" spans="1:61" ht="18">
      <c r="A38" s="130" t="s">
        <v>235</v>
      </c>
      <c r="B38" s="116">
        <v>960000</v>
      </c>
      <c r="C38" s="101">
        <v>167494</v>
      </c>
      <c r="D38" s="128">
        <v>90856</v>
      </c>
      <c r="E38" s="129">
        <v>69352</v>
      </c>
      <c r="F38" s="130" t="s">
        <v>234</v>
      </c>
      <c r="G38" s="116">
        <v>599500</v>
      </c>
      <c r="H38" s="101">
        <v>229798.78</v>
      </c>
      <c r="I38" s="128">
        <v>0</v>
      </c>
      <c r="J38" s="128">
        <v>191404.78</v>
      </c>
      <c r="K38" s="217"/>
      <c r="L38" s="130" t="s">
        <v>234</v>
      </c>
      <c r="M38" s="116">
        <v>138000</v>
      </c>
      <c r="N38" s="112">
        <v>62622</v>
      </c>
      <c r="O38" s="128">
        <v>62622</v>
      </c>
      <c r="P38" s="128">
        <v>0</v>
      </c>
      <c r="Q38" s="130" t="s">
        <v>234</v>
      </c>
      <c r="R38" s="116">
        <v>294000</v>
      </c>
      <c r="S38" s="128">
        <v>63401</v>
      </c>
      <c r="T38" s="128">
        <v>63401</v>
      </c>
      <c r="Z38" s="130" t="s">
        <v>234</v>
      </c>
      <c r="AA38" s="116">
        <v>287400</v>
      </c>
      <c r="AB38" s="112">
        <v>104837</v>
      </c>
      <c r="AC38" s="128">
        <v>104837</v>
      </c>
      <c r="AD38" s="116" t="s">
        <v>27</v>
      </c>
      <c r="AE38" s="116" t="s">
        <v>27</v>
      </c>
      <c r="AF38" s="122"/>
      <c r="AG38" s="130" t="s">
        <v>234</v>
      </c>
      <c r="AH38" s="116">
        <v>98500</v>
      </c>
      <c r="AI38" s="112">
        <v>40550</v>
      </c>
      <c r="AJ38" s="128">
        <v>0</v>
      </c>
      <c r="AK38" s="130" t="s">
        <v>234</v>
      </c>
      <c r="AL38" s="116">
        <v>0</v>
      </c>
      <c r="AM38" s="112">
        <v>0</v>
      </c>
      <c r="AN38" s="128">
        <v>0</v>
      </c>
      <c r="AO38" s="128">
        <v>0</v>
      </c>
      <c r="AP38" s="129">
        <v>0</v>
      </c>
      <c r="AQ38" s="130" t="s">
        <v>234</v>
      </c>
      <c r="AR38" s="116">
        <v>36000</v>
      </c>
      <c r="AS38" s="112">
        <v>0</v>
      </c>
      <c r="AT38" s="128">
        <v>0</v>
      </c>
      <c r="AU38" s="128">
        <v>0</v>
      </c>
      <c r="AV38" s="130" t="s">
        <v>234</v>
      </c>
      <c r="AW38" s="116">
        <v>0</v>
      </c>
      <c r="AX38" s="112">
        <v>0</v>
      </c>
      <c r="AY38" s="128">
        <v>0</v>
      </c>
      <c r="AZ38" s="130" t="s">
        <v>234</v>
      </c>
      <c r="BA38" s="128">
        <v>80140</v>
      </c>
      <c r="BB38" s="112"/>
      <c r="BC38" s="128"/>
      <c r="BD38" s="112"/>
      <c r="BE38" s="128">
        <v>80140</v>
      </c>
      <c r="BF38" s="101"/>
      <c r="BG38" s="122"/>
      <c r="BH38" s="125"/>
      <c r="BI38" s="122"/>
    </row>
    <row r="39" spans="1:61" ht="18">
      <c r="A39" s="122" t="s">
        <v>236</v>
      </c>
      <c r="B39" s="116">
        <v>725000</v>
      </c>
      <c r="C39" s="101">
        <v>351399</v>
      </c>
      <c r="D39" s="128">
        <v>144643</v>
      </c>
      <c r="E39" s="129">
        <v>112344</v>
      </c>
      <c r="F39" s="130" t="s">
        <v>235</v>
      </c>
      <c r="G39" s="116">
        <v>648000</v>
      </c>
      <c r="H39" s="101">
        <v>261478.11</v>
      </c>
      <c r="I39" s="128">
        <v>0</v>
      </c>
      <c r="J39" s="128">
        <v>244848</v>
      </c>
      <c r="K39" s="217"/>
      <c r="L39" s="130" t="s">
        <v>235</v>
      </c>
      <c r="M39" s="116">
        <v>6465900</v>
      </c>
      <c r="N39" s="101">
        <v>4218277</v>
      </c>
      <c r="O39" s="128">
        <v>119938</v>
      </c>
      <c r="P39" s="128">
        <v>4048339</v>
      </c>
      <c r="Q39" s="130" t="s">
        <v>235</v>
      </c>
      <c r="R39" s="116">
        <v>1020000</v>
      </c>
      <c r="S39" s="128">
        <v>728394</v>
      </c>
      <c r="T39" s="128">
        <v>728394</v>
      </c>
      <c r="Z39" s="130" t="s">
        <v>235</v>
      </c>
      <c r="AA39" s="116">
        <v>1240000</v>
      </c>
      <c r="AB39" s="101">
        <v>463012</v>
      </c>
      <c r="AC39" s="128">
        <v>403912</v>
      </c>
      <c r="AD39" s="116" t="s">
        <v>27</v>
      </c>
      <c r="AE39" s="116">
        <v>59100</v>
      </c>
      <c r="AF39" s="122"/>
      <c r="AG39" s="130" t="s">
        <v>235</v>
      </c>
      <c r="AH39" s="116">
        <v>806500</v>
      </c>
      <c r="AI39" s="101">
        <v>462010</v>
      </c>
      <c r="AJ39" s="128">
        <v>442010</v>
      </c>
      <c r="AK39" s="130" t="s">
        <v>235</v>
      </c>
      <c r="AL39" s="116">
        <v>1130000</v>
      </c>
      <c r="AM39" s="101">
        <v>695554.35</v>
      </c>
      <c r="AN39" s="128">
        <v>0</v>
      </c>
      <c r="AO39" s="128">
        <v>115976</v>
      </c>
      <c r="AP39" s="129">
        <v>579578.35</v>
      </c>
      <c r="AQ39" s="130" t="s">
        <v>235</v>
      </c>
      <c r="AR39" s="116">
        <v>50000</v>
      </c>
      <c r="AS39" s="101">
        <v>13368.3</v>
      </c>
      <c r="AT39" s="128">
        <v>13368.3</v>
      </c>
      <c r="AU39" s="128">
        <v>0</v>
      </c>
      <c r="AV39" s="130" t="s">
        <v>235</v>
      </c>
      <c r="AW39" s="116">
        <v>0</v>
      </c>
      <c r="AX39" s="101">
        <v>0</v>
      </c>
      <c r="AY39" s="128">
        <v>0</v>
      </c>
      <c r="AZ39" s="130" t="s">
        <v>235</v>
      </c>
      <c r="BA39" s="116"/>
      <c r="BB39" s="101"/>
      <c r="BC39" s="128"/>
      <c r="BD39" s="112"/>
      <c r="BE39" s="128"/>
      <c r="BF39" s="101"/>
      <c r="BG39" s="122"/>
      <c r="BH39" s="125"/>
      <c r="BI39" s="122"/>
    </row>
    <row r="40" spans="1:61" ht="18">
      <c r="A40" s="122" t="s">
        <v>237</v>
      </c>
      <c r="B40" s="116">
        <v>60000</v>
      </c>
      <c r="C40" s="101">
        <v>28247.91</v>
      </c>
      <c r="D40" s="128">
        <v>18081.51</v>
      </c>
      <c r="E40" s="129">
        <v>4816.4</v>
      </c>
      <c r="F40" s="122" t="s">
        <v>236</v>
      </c>
      <c r="G40" s="116">
        <v>350000</v>
      </c>
      <c r="H40" s="101">
        <v>332694.94</v>
      </c>
      <c r="I40" s="128">
        <v>0</v>
      </c>
      <c r="J40" s="128">
        <v>332694.94</v>
      </c>
      <c r="K40" s="217"/>
      <c r="L40" s="122" t="s">
        <v>236</v>
      </c>
      <c r="M40" s="116">
        <v>3700995</v>
      </c>
      <c r="N40" s="101">
        <v>39150</v>
      </c>
      <c r="O40" s="128">
        <v>39150</v>
      </c>
      <c r="P40" s="116">
        <v>0</v>
      </c>
      <c r="Q40" s="122" t="s">
        <v>236</v>
      </c>
      <c r="R40" s="116">
        <v>85000</v>
      </c>
      <c r="S40" s="128">
        <v>35902</v>
      </c>
      <c r="T40" s="128">
        <v>35902</v>
      </c>
      <c r="Z40" s="122" t="s">
        <v>236</v>
      </c>
      <c r="AA40" s="116">
        <v>1930000</v>
      </c>
      <c r="AB40" s="101">
        <v>1045515.49</v>
      </c>
      <c r="AC40" s="128">
        <v>268427.5</v>
      </c>
      <c r="AD40" s="116">
        <v>584887.99</v>
      </c>
      <c r="AE40" s="116">
        <v>186200</v>
      </c>
      <c r="AF40" s="122"/>
      <c r="AG40" s="122" t="s">
        <v>236</v>
      </c>
      <c r="AH40" s="116">
        <v>176000</v>
      </c>
      <c r="AI40" s="101">
        <v>154237</v>
      </c>
      <c r="AJ40" s="162">
        <v>144887</v>
      </c>
      <c r="AK40" s="163" t="s">
        <v>236</v>
      </c>
      <c r="AL40" s="116">
        <v>0</v>
      </c>
      <c r="AM40" s="101">
        <v>0</v>
      </c>
      <c r="AN40" s="128">
        <v>0</v>
      </c>
      <c r="AO40" s="116">
        <v>0</v>
      </c>
      <c r="AP40" s="129">
        <v>0</v>
      </c>
      <c r="AQ40" s="122" t="s">
        <v>236</v>
      </c>
      <c r="AR40" s="116">
        <v>60000</v>
      </c>
      <c r="AS40" s="101">
        <v>59600</v>
      </c>
      <c r="AT40" s="128">
        <v>0</v>
      </c>
      <c r="AU40" s="116">
        <v>59600</v>
      </c>
      <c r="AV40" s="122" t="s">
        <v>236</v>
      </c>
      <c r="AW40" s="116">
        <v>0</v>
      </c>
      <c r="AX40" s="101">
        <v>0</v>
      </c>
      <c r="AY40" s="128">
        <v>0</v>
      </c>
      <c r="AZ40" s="122" t="s">
        <v>236</v>
      </c>
      <c r="BA40" s="116"/>
      <c r="BB40" s="101"/>
      <c r="BC40" s="128"/>
      <c r="BD40" s="101"/>
      <c r="BE40" s="128"/>
      <c r="BF40" s="101"/>
      <c r="BG40" s="122"/>
      <c r="BH40" s="125"/>
      <c r="BI40" s="122"/>
    </row>
    <row r="41" spans="1:61" ht="18">
      <c r="A41" s="122" t="s">
        <v>238</v>
      </c>
      <c r="B41" s="116">
        <v>50000</v>
      </c>
      <c r="C41" s="101" t="s">
        <v>27</v>
      </c>
      <c r="D41" s="116" t="s">
        <v>27</v>
      </c>
      <c r="E41" s="117" t="s">
        <v>27</v>
      </c>
      <c r="F41" s="122" t="s">
        <v>237</v>
      </c>
      <c r="G41" s="116">
        <v>40000</v>
      </c>
      <c r="H41" s="101">
        <v>0</v>
      </c>
      <c r="I41" s="128">
        <v>0</v>
      </c>
      <c r="J41" s="128">
        <v>0</v>
      </c>
      <c r="K41" s="217"/>
      <c r="L41" s="122" t="s">
        <v>237</v>
      </c>
      <c r="M41" s="116">
        <v>78000</v>
      </c>
      <c r="N41" s="101">
        <v>29310.22</v>
      </c>
      <c r="O41" s="128">
        <v>29310.22</v>
      </c>
      <c r="P41" s="128">
        <v>0</v>
      </c>
      <c r="Q41" s="122" t="s">
        <v>237</v>
      </c>
      <c r="R41" s="116">
        <v>1000</v>
      </c>
      <c r="S41" s="128"/>
      <c r="T41" s="128"/>
      <c r="Z41" s="122" t="s">
        <v>237</v>
      </c>
      <c r="AA41" s="116">
        <v>30000</v>
      </c>
      <c r="AB41" s="101">
        <v>15406.32</v>
      </c>
      <c r="AC41" s="116" t="s">
        <v>27</v>
      </c>
      <c r="AD41" s="116" t="s">
        <v>27</v>
      </c>
      <c r="AE41" s="116" t="s">
        <v>27</v>
      </c>
      <c r="AF41" s="122"/>
      <c r="AG41" s="122" t="s">
        <v>237</v>
      </c>
      <c r="AH41" s="116">
        <v>2000</v>
      </c>
      <c r="AI41" s="162">
        <v>0</v>
      </c>
      <c r="AJ41" s="101">
        <v>0</v>
      </c>
      <c r="AK41" s="163" t="s">
        <v>237</v>
      </c>
      <c r="AL41" s="116">
        <v>0</v>
      </c>
      <c r="AM41" s="101">
        <v>0</v>
      </c>
      <c r="AN41" s="128">
        <v>0</v>
      </c>
      <c r="AO41" s="128">
        <v>0</v>
      </c>
      <c r="AP41" s="129">
        <v>0</v>
      </c>
      <c r="AQ41" s="122" t="s">
        <v>237</v>
      </c>
      <c r="AR41" s="116">
        <v>0</v>
      </c>
      <c r="AS41" s="101">
        <v>0</v>
      </c>
      <c r="AT41" s="128">
        <v>0</v>
      </c>
      <c r="AU41" s="128">
        <v>0</v>
      </c>
      <c r="AV41" s="122" t="s">
        <v>237</v>
      </c>
      <c r="AW41" s="116">
        <v>0</v>
      </c>
      <c r="AX41" s="101">
        <v>0</v>
      </c>
      <c r="AY41" s="128">
        <v>0</v>
      </c>
      <c r="AZ41" s="122" t="s">
        <v>237</v>
      </c>
      <c r="BA41" s="116"/>
      <c r="BB41" s="101"/>
      <c r="BC41" s="128"/>
      <c r="BD41" s="112"/>
      <c r="BE41" s="128"/>
      <c r="BF41" s="101"/>
      <c r="BG41" s="122"/>
      <c r="BH41" s="125"/>
      <c r="BI41" s="122"/>
    </row>
    <row r="42" spans="1:61" ht="18">
      <c r="A42" s="122" t="s">
        <v>239</v>
      </c>
      <c r="B42" s="116">
        <v>10000</v>
      </c>
      <c r="C42" s="101" t="s">
        <v>27</v>
      </c>
      <c r="D42" s="116" t="s">
        <v>27</v>
      </c>
      <c r="E42" s="117" t="s">
        <v>27</v>
      </c>
      <c r="F42" s="122" t="s">
        <v>238</v>
      </c>
      <c r="G42" s="116">
        <v>0</v>
      </c>
      <c r="H42" s="101">
        <v>0</v>
      </c>
      <c r="I42" s="128">
        <v>0</v>
      </c>
      <c r="J42" s="128">
        <v>0</v>
      </c>
      <c r="K42" s="217"/>
      <c r="L42" s="122" t="s">
        <v>238</v>
      </c>
      <c r="M42" s="116">
        <v>200000</v>
      </c>
      <c r="N42" s="128">
        <v>0</v>
      </c>
      <c r="O42" s="128">
        <v>0</v>
      </c>
      <c r="P42" s="128">
        <v>0</v>
      </c>
      <c r="Q42" s="122" t="s">
        <v>238</v>
      </c>
      <c r="R42" s="116">
        <v>130000</v>
      </c>
      <c r="S42" s="128">
        <v>100000</v>
      </c>
      <c r="T42" s="128">
        <v>100000</v>
      </c>
      <c r="Z42" s="122" t="s">
        <v>238</v>
      </c>
      <c r="AA42" s="116">
        <v>400000</v>
      </c>
      <c r="AB42" s="101" t="s">
        <v>27</v>
      </c>
      <c r="AC42" s="116" t="s">
        <v>27</v>
      </c>
      <c r="AD42" s="116" t="s">
        <v>27</v>
      </c>
      <c r="AE42" s="116" t="s">
        <v>27</v>
      </c>
      <c r="AF42" s="122"/>
      <c r="AG42" s="122" t="s">
        <v>238</v>
      </c>
      <c r="AH42" s="116">
        <v>0</v>
      </c>
      <c r="AI42" s="162">
        <v>0</v>
      </c>
      <c r="AJ42" s="164">
        <v>0</v>
      </c>
      <c r="AK42" s="163" t="s">
        <v>238</v>
      </c>
      <c r="AL42" s="116">
        <v>70000</v>
      </c>
      <c r="AM42" s="101">
        <v>20520</v>
      </c>
      <c r="AN42" s="128">
        <v>0</v>
      </c>
      <c r="AO42" s="128">
        <v>20520</v>
      </c>
      <c r="AP42" s="129">
        <v>0</v>
      </c>
      <c r="AQ42" s="122" t="s">
        <v>238</v>
      </c>
      <c r="AR42" s="116">
        <v>0</v>
      </c>
      <c r="AS42" s="101">
        <v>0</v>
      </c>
      <c r="AT42" s="128">
        <v>0</v>
      </c>
      <c r="AU42" s="128">
        <v>0</v>
      </c>
      <c r="AV42" s="122" t="s">
        <v>238</v>
      </c>
      <c r="AW42" s="116">
        <v>0</v>
      </c>
      <c r="AX42" s="101">
        <v>0</v>
      </c>
      <c r="AY42" s="128">
        <v>0</v>
      </c>
      <c r="AZ42" s="122" t="s">
        <v>238</v>
      </c>
      <c r="BA42" s="116"/>
      <c r="BB42" s="101"/>
      <c r="BC42" s="128"/>
      <c r="BD42" s="112"/>
      <c r="BE42" s="128"/>
      <c r="BF42" s="101"/>
      <c r="BG42" s="122"/>
      <c r="BH42" s="125"/>
      <c r="BI42" s="122"/>
    </row>
    <row r="43" spans="1:61" ht="18">
      <c r="A43" s="122" t="s">
        <v>240</v>
      </c>
      <c r="B43" s="116" t="s">
        <v>27</v>
      </c>
      <c r="C43" s="101" t="s">
        <v>27</v>
      </c>
      <c r="D43" s="116" t="s">
        <v>27</v>
      </c>
      <c r="E43" s="117" t="s">
        <v>27</v>
      </c>
      <c r="F43" s="122" t="s">
        <v>239</v>
      </c>
      <c r="G43" s="116">
        <v>0</v>
      </c>
      <c r="H43" s="101">
        <v>0</v>
      </c>
      <c r="I43" s="128">
        <v>0</v>
      </c>
      <c r="J43" s="128">
        <v>0</v>
      </c>
      <c r="K43" s="217"/>
      <c r="L43" s="122" t="s">
        <v>239</v>
      </c>
      <c r="M43" s="128">
        <v>0</v>
      </c>
      <c r="N43" s="128">
        <v>0</v>
      </c>
      <c r="O43" s="128">
        <v>0</v>
      </c>
      <c r="P43" s="128">
        <v>0</v>
      </c>
      <c r="Q43" s="122" t="s">
        <v>239</v>
      </c>
      <c r="R43" s="116">
        <v>0</v>
      </c>
      <c r="S43" s="128">
        <v>0</v>
      </c>
      <c r="T43" s="128">
        <v>0</v>
      </c>
      <c r="Z43" s="122" t="s">
        <v>239</v>
      </c>
      <c r="AA43" s="116" t="s">
        <v>27</v>
      </c>
      <c r="AB43" s="101" t="s">
        <v>27</v>
      </c>
      <c r="AC43" s="116" t="s">
        <v>27</v>
      </c>
      <c r="AD43" s="116" t="s">
        <v>27</v>
      </c>
      <c r="AE43" s="116" t="s">
        <v>27</v>
      </c>
      <c r="AF43" s="122"/>
      <c r="AG43" s="122" t="s">
        <v>239</v>
      </c>
      <c r="AH43" s="116">
        <v>0</v>
      </c>
      <c r="AI43" s="162">
        <v>0</v>
      </c>
      <c r="AJ43" s="164">
        <v>0</v>
      </c>
      <c r="AK43" s="163" t="s">
        <v>239</v>
      </c>
      <c r="AL43" s="116">
        <v>0</v>
      </c>
      <c r="AM43" s="101">
        <v>0</v>
      </c>
      <c r="AN43" s="128">
        <v>0</v>
      </c>
      <c r="AO43" s="128">
        <v>0</v>
      </c>
      <c r="AP43" s="129">
        <v>0</v>
      </c>
      <c r="AQ43" s="122" t="s">
        <v>239</v>
      </c>
      <c r="AR43" s="116">
        <v>0</v>
      </c>
      <c r="AS43" s="101">
        <v>0</v>
      </c>
      <c r="AT43" s="128">
        <v>0</v>
      </c>
      <c r="AU43" s="128">
        <v>0</v>
      </c>
      <c r="AV43" s="122" t="s">
        <v>239</v>
      </c>
      <c r="AW43" s="116">
        <v>0</v>
      </c>
      <c r="AX43" s="101">
        <v>0</v>
      </c>
      <c r="AY43" s="128">
        <v>0</v>
      </c>
      <c r="AZ43" s="122" t="s">
        <v>239</v>
      </c>
      <c r="BA43" s="116"/>
      <c r="BB43" s="101"/>
      <c r="BC43" s="128"/>
      <c r="BD43" s="112"/>
      <c r="BE43" s="128"/>
      <c r="BF43" s="101"/>
      <c r="BG43" s="122"/>
      <c r="BH43" s="125"/>
      <c r="BI43" s="122"/>
    </row>
    <row r="44" spans="1:61" ht="18">
      <c r="A44" s="122" t="s">
        <v>241</v>
      </c>
      <c r="B44" s="128">
        <v>43500</v>
      </c>
      <c r="C44" s="101">
        <v>17500</v>
      </c>
      <c r="D44" s="116" t="s">
        <v>27</v>
      </c>
      <c r="E44" s="117">
        <v>3500</v>
      </c>
      <c r="F44" s="122" t="s">
        <v>240</v>
      </c>
      <c r="G44" s="128">
        <v>0</v>
      </c>
      <c r="H44" s="101">
        <v>0</v>
      </c>
      <c r="I44" s="128">
        <v>0</v>
      </c>
      <c r="J44" s="128">
        <v>0</v>
      </c>
      <c r="K44" s="217"/>
      <c r="L44" s="122" t="s">
        <v>240</v>
      </c>
      <c r="M44" s="128">
        <v>0</v>
      </c>
      <c r="N44" s="128">
        <v>0</v>
      </c>
      <c r="O44" s="128">
        <v>0</v>
      </c>
      <c r="P44" s="128">
        <v>0</v>
      </c>
      <c r="Q44" s="122" t="s">
        <v>240</v>
      </c>
      <c r="R44" s="128">
        <v>0</v>
      </c>
      <c r="S44" s="128">
        <v>0</v>
      </c>
      <c r="T44" s="128">
        <v>0</v>
      </c>
      <c r="Z44" s="122" t="s">
        <v>240</v>
      </c>
      <c r="AA44" s="116" t="s">
        <v>27</v>
      </c>
      <c r="AB44" s="101" t="s">
        <v>27</v>
      </c>
      <c r="AC44" s="116" t="s">
        <v>27</v>
      </c>
      <c r="AD44" s="116" t="s">
        <v>27</v>
      </c>
      <c r="AE44" s="116" t="s">
        <v>27</v>
      </c>
      <c r="AF44" s="122"/>
      <c r="AG44" s="122" t="s">
        <v>240</v>
      </c>
      <c r="AH44" s="128">
        <v>0</v>
      </c>
      <c r="AI44" s="101">
        <v>0</v>
      </c>
      <c r="AJ44" s="128">
        <v>0</v>
      </c>
      <c r="AK44" s="122" t="s">
        <v>240</v>
      </c>
      <c r="AL44" s="128">
        <v>0</v>
      </c>
      <c r="AM44" s="101">
        <v>0</v>
      </c>
      <c r="AN44" s="128">
        <v>0</v>
      </c>
      <c r="AO44" s="128">
        <v>0</v>
      </c>
      <c r="AP44" s="129">
        <v>0</v>
      </c>
      <c r="AQ44" s="122" t="s">
        <v>240</v>
      </c>
      <c r="AR44" s="128">
        <v>0</v>
      </c>
      <c r="AS44" s="101">
        <v>0</v>
      </c>
      <c r="AT44" s="128">
        <v>0</v>
      </c>
      <c r="AU44" s="128">
        <v>0</v>
      </c>
      <c r="AV44" s="122" t="s">
        <v>240</v>
      </c>
      <c r="AW44" s="128">
        <v>1797940</v>
      </c>
      <c r="AX44" s="101">
        <v>1402468</v>
      </c>
      <c r="AY44" s="101">
        <v>1402468</v>
      </c>
      <c r="AZ44" s="122" t="s">
        <v>240</v>
      </c>
      <c r="BA44" s="116"/>
      <c r="BB44" s="101"/>
      <c r="BC44" s="128"/>
      <c r="BD44" s="112"/>
      <c r="BE44" s="128"/>
      <c r="BF44" s="101"/>
      <c r="BG44" s="122"/>
      <c r="BH44" s="125"/>
      <c r="BI44" s="122"/>
    </row>
    <row r="45" spans="1:61" ht="18.75" thickBot="1">
      <c r="A45" s="122" t="s">
        <v>242</v>
      </c>
      <c r="B45" s="116" t="s">
        <v>27</v>
      </c>
      <c r="C45" s="101" t="s">
        <v>27</v>
      </c>
      <c r="D45" s="116" t="s">
        <v>27</v>
      </c>
      <c r="E45" s="117" t="s">
        <v>27</v>
      </c>
      <c r="F45" s="122" t="s">
        <v>241</v>
      </c>
      <c r="G45" s="128">
        <v>0</v>
      </c>
      <c r="H45" s="112">
        <v>0</v>
      </c>
      <c r="I45" s="128">
        <v>0</v>
      </c>
      <c r="J45" s="128">
        <v>0</v>
      </c>
      <c r="K45" s="217"/>
      <c r="L45" s="122" t="s">
        <v>241</v>
      </c>
      <c r="M45" s="128">
        <v>209400</v>
      </c>
      <c r="N45" s="128">
        <v>42750</v>
      </c>
      <c r="O45" s="128">
        <v>42750</v>
      </c>
      <c r="P45" s="128">
        <v>0</v>
      </c>
      <c r="Q45" s="122" t="s">
        <v>241</v>
      </c>
      <c r="R45" s="128">
        <v>0</v>
      </c>
      <c r="S45" s="128">
        <v>0</v>
      </c>
      <c r="T45" s="128">
        <v>0</v>
      </c>
      <c r="Z45" s="122" t="s">
        <v>241</v>
      </c>
      <c r="AA45" s="128">
        <v>497800</v>
      </c>
      <c r="AB45" s="101">
        <v>138790</v>
      </c>
      <c r="AC45" s="116" t="s">
        <v>27</v>
      </c>
      <c r="AD45" s="128">
        <v>138790</v>
      </c>
      <c r="AE45" s="116" t="s">
        <v>27</v>
      </c>
      <c r="AF45" s="122"/>
      <c r="AG45" s="122" t="s">
        <v>244</v>
      </c>
      <c r="AH45" s="128">
        <v>0</v>
      </c>
      <c r="AI45" s="101">
        <v>0</v>
      </c>
      <c r="AJ45" s="128">
        <v>0</v>
      </c>
      <c r="AK45" s="122" t="s">
        <v>243</v>
      </c>
      <c r="AL45" s="128">
        <v>0</v>
      </c>
      <c r="AM45" s="112">
        <v>0</v>
      </c>
      <c r="AN45" s="128">
        <v>0</v>
      </c>
      <c r="AO45" s="128">
        <v>0</v>
      </c>
      <c r="AP45" s="129">
        <v>0</v>
      </c>
      <c r="AQ45" s="122" t="s">
        <v>241</v>
      </c>
      <c r="AR45" s="128">
        <v>0</v>
      </c>
      <c r="AS45" s="112">
        <v>0</v>
      </c>
      <c r="AT45" s="128">
        <v>0</v>
      </c>
      <c r="AU45" s="128">
        <v>0</v>
      </c>
      <c r="AV45" s="122" t="s">
        <v>241</v>
      </c>
      <c r="AW45" s="128">
        <v>0</v>
      </c>
      <c r="AX45" s="112">
        <v>0</v>
      </c>
      <c r="AY45" s="128">
        <v>0</v>
      </c>
      <c r="AZ45" s="122" t="s">
        <v>243</v>
      </c>
      <c r="BA45" s="128"/>
      <c r="BB45" s="112"/>
      <c r="BC45" s="128"/>
      <c r="BD45" s="112"/>
      <c r="BE45" s="128"/>
      <c r="BF45" s="101"/>
      <c r="BG45" s="122"/>
      <c r="BH45" s="125"/>
      <c r="BI45" s="122"/>
    </row>
    <row r="46" spans="1:61" ht="18.75" thickBot="1">
      <c r="A46" s="133" t="s">
        <v>34</v>
      </c>
      <c r="B46" s="140">
        <f>SUM(B33:B45)</f>
        <v>9938590</v>
      </c>
      <c r="C46" s="141">
        <f>SUM(C34:C45)</f>
        <v>4390806.91</v>
      </c>
      <c r="D46" s="140">
        <f>SUM(D34:D45)</f>
        <v>2926605.51</v>
      </c>
      <c r="E46" s="165">
        <f>SUM(E34:E45)</f>
        <v>899148.4</v>
      </c>
      <c r="F46" s="122" t="s">
        <v>242</v>
      </c>
      <c r="G46" s="128">
        <v>0</v>
      </c>
      <c r="H46" s="112">
        <v>0</v>
      </c>
      <c r="I46" s="128"/>
      <c r="J46" s="128">
        <v>0</v>
      </c>
      <c r="K46" s="217"/>
      <c r="L46" s="122" t="s">
        <v>242</v>
      </c>
      <c r="M46" s="128">
        <v>0</v>
      </c>
      <c r="N46" s="128">
        <v>0</v>
      </c>
      <c r="O46" s="128">
        <v>0</v>
      </c>
      <c r="P46" s="128">
        <v>0</v>
      </c>
      <c r="Q46" s="122" t="s">
        <v>242</v>
      </c>
      <c r="R46" s="128">
        <v>0</v>
      </c>
      <c r="S46" s="128"/>
      <c r="T46" s="128"/>
      <c r="Z46" s="122" t="s">
        <v>242</v>
      </c>
      <c r="AA46" s="128">
        <v>7674600</v>
      </c>
      <c r="AB46" s="101">
        <v>4455300</v>
      </c>
      <c r="AC46" s="116" t="s">
        <v>27</v>
      </c>
      <c r="AD46" s="116">
        <v>4455300</v>
      </c>
      <c r="AE46" s="147" t="s">
        <v>27</v>
      </c>
      <c r="AF46" s="122"/>
      <c r="AG46" s="122" t="s">
        <v>242</v>
      </c>
      <c r="AH46" s="128">
        <v>0</v>
      </c>
      <c r="AI46" s="112">
        <v>0</v>
      </c>
      <c r="AJ46" s="128">
        <v>0</v>
      </c>
      <c r="AK46" s="122" t="s">
        <v>245</v>
      </c>
      <c r="AL46" s="128">
        <v>0</v>
      </c>
      <c r="AM46" s="112">
        <v>0</v>
      </c>
      <c r="AN46" s="128"/>
      <c r="AO46" s="128">
        <v>0</v>
      </c>
      <c r="AP46" s="129">
        <v>0</v>
      </c>
      <c r="AQ46" s="122" t="s">
        <v>242</v>
      </c>
      <c r="AR46" s="128">
        <v>0</v>
      </c>
      <c r="AS46" s="112">
        <v>0</v>
      </c>
      <c r="AT46" s="128"/>
      <c r="AU46" s="128">
        <v>0</v>
      </c>
      <c r="AV46" s="122" t="s">
        <v>242</v>
      </c>
      <c r="AW46" s="128">
        <v>0</v>
      </c>
      <c r="AX46" s="112">
        <v>0</v>
      </c>
      <c r="AY46" s="112">
        <v>0</v>
      </c>
      <c r="AZ46" s="122" t="s">
        <v>245</v>
      </c>
      <c r="BA46" s="138"/>
      <c r="BB46" s="112"/>
      <c r="BC46" s="128"/>
      <c r="BD46" s="112"/>
      <c r="BE46" s="128"/>
      <c r="BF46" s="112"/>
      <c r="BG46" s="122"/>
      <c r="BH46" s="125"/>
      <c r="BI46" s="122"/>
    </row>
    <row r="47" spans="1:62" ht="18.75" thickBot="1">
      <c r="A47" s="139" t="s">
        <v>246</v>
      </c>
      <c r="B47" s="116"/>
      <c r="C47" s="101"/>
      <c r="D47" s="116"/>
      <c r="E47" s="117"/>
      <c r="F47" s="133" t="s">
        <v>34</v>
      </c>
      <c r="G47" s="134">
        <f>SUM(G34:G46)</f>
        <v>2824030</v>
      </c>
      <c r="H47" s="135">
        <f>SUM(H34:H45)</f>
        <v>1634928.27</v>
      </c>
      <c r="I47" s="134">
        <f>SUM(I35:I46)</f>
        <v>0</v>
      </c>
      <c r="J47" s="134">
        <f>SUM(J34:J46)</f>
        <v>1420794.16</v>
      </c>
      <c r="K47" s="217"/>
      <c r="L47" s="133" t="s">
        <v>34</v>
      </c>
      <c r="M47" s="140">
        <f>SUM(M34:M46)</f>
        <v>13387025</v>
      </c>
      <c r="N47" s="141">
        <f>SUM(N35:N46)</f>
        <v>5644587.22</v>
      </c>
      <c r="O47" s="140">
        <f>SUM(O35:O46)</f>
        <v>1546248.22</v>
      </c>
      <c r="P47" s="140">
        <f>SUM(P35:P46)</f>
        <v>4048339</v>
      </c>
      <c r="Q47" s="133" t="s">
        <v>34</v>
      </c>
      <c r="R47" s="140">
        <f>SUM(R34:R46)</f>
        <v>3275940</v>
      </c>
      <c r="S47" s="140">
        <f>SUM(S35:S46)</f>
        <v>1880225</v>
      </c>
      <c r="T47" s="140">
        <f>SUM(T35:T46)</f>
        <v>1880225</v>
      </c>
      <c r="Z47" s="133" t="s">
        <v>34</v>
      </c>
      <c r="AA47" s="140">
        <f>SUM(AA34:AA46)</f>
        <v>15289360</v>
      </c>
      <c r="AB47" s="141">
        <f>SUM(AB34:AB46)</f>
        <v>8004865.8100000005</v>
      </c>
      <c r="AC47" s="140">
        <f>SUM(AC35:AC46)</f>
        <v>2217021.5</v>
      </c>
      <c r="AD47" s="140">
        <f>SUM(AD35:AD46)</f>
        <v>5178977.99</v>
      </c>
      <c r="AE47" s="150">
        <f>SUM(AE35:AE46)</f>
        <v>587460</v>
      </c>
      <c r="AF47" s="143"/>
      <c r="AG47" s="133" t="s">
        <v>34</v>
      </c>
      <c r="AH47" s="140">
        <f>SUM(AH34:AH46)</f>
        <v>1751170</v>
      </c>
      <c r="AI47" s="141">
        <f>SUM(AI34:AI46)</f>
        <v>1065237</v>
      </c>
      <c r="AJ47" s="140">
        <f>SUM(AJ35:AJ46)</f>
        <v>586897</v>
      </c>
      <c r="AK47" s="133" t="s">
        <v>34</v>
      </c>
      <c r="AL47" s="140">
        <f>SUM(AL34:AL46)</f>
        <v>1200000</v>
      </c>
      <c r="AM47" s="141">
        <f>SUM(AM35:AM46)</f>
        <v>716074.35</v>
      </c>
      <c r="AN47" s="140">
        <f>SUM(AN35:AN46)</f>
        <v>0</v>
      </c>
      <c r="AO47" s="140">
        <f>SUM(AO35:AO46)</f>
        <v>136496</v>
      </c>
      <c r="AP47" s="165">
        <f>SUM(AP35:AP46)</f>
        <v>579578.35</v>
      </c>
      <c r="AQ47" s="133" t="s">
        <v>34</v>
      </c>
      <c r="AR47" s="134">
        <f>SUM(AR34:AR46)</f>
        <v>146000</v>
      </c>
      <c r="AS47" s="135">
        <f>SUM(AS35:AS46)</f>
        <v>72968.3</v>
      </c>
      <c r="AT47" s="134">
        <f>SUM(AT35:AT46)</f>
        <v>13368.3</v>
      </c>
      <c r="AU47" s="134">
        <f>SUM(AU35:AU46)</f>
        <v>59600</v>
      </c>
      <c r="AV47" s="133" t="s">
        <v>34</v>
      </c>
      <c r="AW47" s="140">
        <f>SUM(AW34:AW46)</f>
        <v>1797940</v>
      </c>
      <c r="AX47" s="141">
        <f>SUM(AX35:AX46)</f>
        <v>1402468</v>
      </c>
      <c r="AY47" s="140">
        <f>SUM(AY35:AY46)</f>
        <v>1402468</v>
      </c>
      <c r="AZ47" s="133" t="s">
        <v>34</v>
      </c>
      <c r="BA47" s="134">
        <f>SUM(BA36:BA46)</f>
        <v>80140</v>
      </c>
      <c r="BB47" s="135">
        <f>SUM(BB36:BB46)</f>
        <v>0</v>
      </c>
      <c r="BC47" s="134"/>
      <c r="BD47" s="135"/>
      <c r="BE47" s="134">
        <f>SUM(BE38:BE46)</f>
        <v>80140</v>
      </c>
      <c r="BF47" s="144"/>
      <c r="BG47" s="143"/>
      <c r="BH47" s="145"/>
      <c r="BI47" s="143"/>
      <c r="BJ47" s="101"/>
    </row>
    <row r="48" spans="1:61" ht="20.25">
      <c r="A48" s="147" t="s">
        <v>247</v>
      </c>
      <c r="B48" s="128"/>
      <c r="C48" s="112"/>
      <c r="D48" s="128"/>
      <c r="E48" s="129"/>
      <c r="F48" s="139" t="s">
        <v>246</v>
      </c>
      <c r="G48" s="116"/>
      <c r="H48" s="101"/>
      <c r="I48" s="116"/>
      <c r="J48" s="116"/>
      <c r="K48" s="216"/>
      <c r="L48" s="139" t="s">
        <v>246</v>
      </c>
      <c r="M48" s="116"/>
      <c r="N48" s="101"/>
      <c r="O48" s="116"/>
      <c r="P48" s="116"/>
      <c r="Q48" s="133" t="s">
        <v>248</v>
      </c>
      <c r="R48" s="128"/>
      <c r="S48" s="128"/>
      <c r="T48" s="128"/>
      <c r="Z48" s="139"/>
      <c r="AA48" s="116"/>
      <c r="AB48" s="101"/>
      <c r="AC48" s="116"/>
      <c r="AD48" s="116"/>
      <c r="AE48" s="116"/>
      <c r="AF48" s="122"/>
      <c r="AG48" s="139" t="s">
        <v>246</v>
      </c>
      <c r="AH48" s="116"/>
      <c r="AI48" s="101"/>
      <c r="AJ48" s="116"/>
      <c r="AK48" s="139" t="s">
        <v>246</v>
      </c>
      <c r="AL48" s="116"/>
      <c r="AM48" s="101"/>
      <c r="AN48" s="116"/>
      <c r="AO48" s="116"/>
      <c r="AP48" s="117"/>
      <c r="AQ48" s="139" t="s">
        <v>246</v>
      </c>
      <c r="AR48" s="116"/>
      <c r="AS48" s="101"/>
      <c r="AT48" s="116"/>
      <c r="AU48" s="116"/>
      <c r="AV48" s="139" t="s">
        <v>246</v>
      </c>
      <c r="AW48" s="116"/>
      <c r="AX48" s="101"/>
      <c r="AY48" s="116"/>
      <c r="AZ48" s="166" t="s">
        <v>249</v>
      </c>
      <c r="BA48" s="123"/>
      <c r="BB48" s="101"/>
      <c r="BC48" s="116"/>
      <c r="BD48" s="101"/>
      <c r="BE48" s="128"/>
      <c r="BF48" s="102"/>
      <c r="BG48" s="122"/>
      <c r="BI48" s="122"/>
    </row>
    <row r="49" spans="1:61" ht="18.75" thickBot="1">
      <c r="A49" s="116" t="s">
        <v>247</v>
      </c>
      <c r="B49" s="116"/>
      <c r="C49" s="101"/>
      <c r="D49" s="116"/>
      <c r="E49" s="117"/>
      <c r="F49" s="147" t="s">
        <v>247</v>
      </c>
      <c r="G49" s="128"/>
      <c r="H49" s="112"/>
      <c r="I49" s="128"/>
      <c r="J49" s="128"/>
      <c r="K49" s="217"/>
      <c r="L49" s="147" t="s">
        <v>247</v>
      </c>
      <c r="M49" s="128"/>
      <c r="N49" s="112"/>
      <c r="O49" s="128"/>
      <c r="P49" s="128"/>
      <c r="Q49" s="116" t="s">
        <v>247</v>
      </c>
      <c r="R49" s="116"/>
      <c r="S49" s="116"/>
      <c r="T49" s="116"/>
      <c r="Z49" s="147" t="s">
        <v>250</v>
      </c>
      <c r="AA49" s="128"/>
      <c r="AB49" s="112"/>
      <c r="AC49" s="128"/>
      <c r="AD49" s="128"/>
      <c r="AE49" s="137"/>
      <c r="AF49" s="122"/>
      <c r="AG49" s="147" t="s">
        <v>247</v>
      </c>
      <c r="AH49" s="128"/>
      <c r="AI49" s="112"/>
      <c r="AJ49" s="128"/>
      <c r="AK49" s="147" t="s">
        <v>247</v>
      </c>
      <c r="AL49" s="128"/>
      <c r="AM49" s="112"/>
      <c r="AN49" s="128"/>
      <c r="AO49" s="128"/>
      <c r="AP49" s="129"/>
      <c r="AQ49" s="147" t="s">
        <v>247</v>
      </c>
      <c r="AR49" s="128"/>
      <c r="AS49" s="112"/>
      <c r="AT49" s="128"/>
      <c r="AU49" s="128"/>
      <c r="AV49" s="147" t="s">
        <v>247</v>
      </c>
      <c r="AW49" s="128"/>
      <c r="AX49" s="112"/>
      <c r="AY49" s="128"/>
      <c r="AZ49" s="167" t="s">
        <v>251</v>
      </c>
      <c r="BA49" s="128"/>
      <c r="BB49" s="112"/>
      <c r="BC49" s="128"/>
      <c r="BD49" s="112"/>
      <c r="BE49" s="116"/>
      <c r="BF49" s="101"/>
      <c r="BG49" s="122"/>
      <c r="BI49" s="122"/>
    </row>
    <row r="50" spans="1:61" ht="18.75" thickBot="1">
      <c r="A50" s="116"/>
      <c r="B50" s="116"/>
      <c r="C50" s="101"/>
      <c r="D50" s="116"/>
      <c r="E50" s="117"/>
      <c r="F50" s="116" t="s">
        <v>247</v>
      </c>
      <c r="G50" s="116"/>
      <c r="H50" s="101"/>
      <c r="I50" s="116"/>
      <c r="J50" s="116"/>
      <c r="K50" s="216"/>
      <c r="L50" s="116" t="s">
        <v>247</v>
      </c>
      <c r="M50" s="116"/>
      <c r="N50" s="101"/>
      <c r="O50" s="116"/>
      <c r="P50" s="116"/>
      <c r="Q50" s="118" t="s">
        <v>34</v>
      </c>
      <c r="R50" s="119">
        <f>SUM(R47)</f>
        <v>3275940</v>
      </c>
      <c r="S50" s="119">
        <f>SUM(S47)</f>
        <v>1880225</v>
      </c>
      <c r="T50" s="119">
        <f>SUM(T47)</f>
        <v>1880225</v>
      </c>
      <c r="Z50" s="116" t="s">
        <v>247</v>
      </c>
      <c r="AA50" s="116"/>
      <c r="AB50" s="101"/>
      <c r="AC50" s="116"/>
      <c r="AD50" s="116"/>
      <c r="AE50" s="137"/>
      <c r="AF50" s="122"/>
      <c r="AG50" s="116" t="s">
        <v>247</v>
      </c>
      <c r="AH50" s="116"/>
      <c r="AI50" s="101"/>
      <c r="AJ50" s="116"/>
      <c r="AK50" s="116" t="s">
        <v>247</v>
      </c>
      <c r="AL50" s="116"/>
      <c r="AM50" s="101"/>
      <c r="AN50" s="116"/>
      <c r="AO50" s="116"/>
      <c r="AP50" s="117"/>
      <c r="AQ50" s="116" t="s">
        <v>247</v>
      </c>
      <c r="AR50" s="116"/>
      <c r="AS50" s="101"/>
      <c r="AT50" s="116"/>
      <c r="AU50" s="116"/>
      <c r="AV50" s="116" t="s">
        <v>247</v>
      </c>
      <c r="AW50" s="116"/>
      <c r="AX50" s="101"/>
      <c r="AY50" s="116"/>
      <c r="AZ50" s="168" t="s">
        <v>263</v>
      </c>
      <c r="BA50" s="151"/>
      <c r="BB50" s="152"/>
      <c r="BC50" s="151"/>
      <c r="BD50" s="152"/>
      <c r="BE50" s="138"/>
      <c r="BF50" s="153"/>
      <c r="BG50" s="154"/>
      <c r="BH50" s="155"/>
      <c r="BI50" s="154"/>
    </row>
    <row r="51" spans="1:51" ht="18.75" thickBot="1">
      <c r="A51" s="118" t="s">
        <v>34</v>
      </c>
      <c r="B51" s="119">
        <f>SUM(B46)</f>
        <v>9938590</v>
      </c>
      <c r="C51" s="105">
        <f>SUM(C46)</f>
        <v>4390806.91</v>
      </c>
      <c r="D51" s="119">
        <f>SUM(D46)</f>
        <v>2926605.51</v>
      </c>
      <c r="E51" s="106">
        <f>SUM(E46)</f>
        <v>899148.4</v>
      </c>
      <c r="F51" s="118" t="s">
        <v>34</v>
      </c>
      <c r="G51" s="156">
        <f>SUM(G47)</f>
        <v>2824030</v>
      </c>
      <c r="H51" s="157">
        <f>SUM(H47)</f>
        <v>1634928.27</v>
      </c>
      <c r="I51" s="156">
        <f>SUM(I47)</f>
        <v>0</v>
      </c>
      <c r="J51" s="156">
        <f>SUM(J47)</f>
        <v>1420794.16</v>
      </c>
      <c r="K51" s="222"/>
      <c r="L51" s="159" t="s">
        <v>34</v>
      </c>
      <c r="M51" s="140">
        <f>SUM(M47)</f>
        <v>13387025</v>
      </c>
      <c r="N51" s="140">
        <f>SUM(N47)</f>
        <v>5644587.22</v>
      </c>
      <c r="O51" s="140">
        <f>SUM(O47)</f>
        <v>1546248.22</v>
      </c>
      <c r="P51" s="140">
        <f>SUM(P47)</f>
        <v>4048339</v>
      </c>
      <c r="T51" s="100"/>
      <c r="Z51" s="118" t="s">
        <v>34</v>
      </c>
      <c r="AA51" s="119">
        <f>SUM(AA47)</f>
        <v>15289360</v>
      </c>
      <c r="AB51" s="105">
        <f>SUM(AB47)</f>
        <v>8004865.8100000005</v>
      </c>
      <c r="AC51" s="119">
        <f>SUM(AC47)</f>
        <v>2217021.5</v>
      </c>
      <c r="AD51" s="119">
        <f>SUM(AD47)</f>
        <v>5178977.99</v>
      </c>
      <c r="AE51" s="150">
        <f>SUM(AE47)</f>
        <v>587460</v>
      </c>
      <c r="AF51" s="143"/>
      <c r="AG51" s="118" t="s">
        <v>34</v>
      </c>
      <c r="AH51" s="156">
        <f>SUM(AH47)</f>
        <v>1751170</v>
      </c>
      <c r="AI51" s="157">
        <f>SUM(AI47)</f>
        <v>1065237</v>
      </c>
      <c r="AJ51" s="156">
        <f>SUM(AJ47)</f>
        <v>586897</v>
      </c>
      <c r="AK51" s="118" t="s">
        <v>34</v>
      </c>
      <c r="AL51" s="156">
        <v>1200000</v>
      </c>
      <c r="AM51" s="135">
        <v>716074.35</v>
      </c>
      <c r="AN51" s="156">
        <v>0</v>
      </c>
      <c r="AO51" s="156">
        <v>136496</v>
      </c>
      <c r="AP51" s="158">
        <v>579578.35</v>
      </c>
      <c r="AQ51" s="118" t="s">
        <v>34</v>
      </c>
      <c r="AR51" s="156">
        <f>SUM(AR47)</f>
        <v>146000</v>
      </c>
      <c r="AS51" s="157">
        <f>SUM(AS47)</f>
        <v>72968.3</v>
      </c>
      <c r="AT51" s="156">
        <f>SUM(AT47)</f>
        <v>13368.3</v>
      </c>
      <c r="AU51" s="156">
        <f>SUM(AU47)</f>
        <v>59600</v>
      </c>
      <c r="AV51" s="118" t="s">
        <v>34</v>
      </c>
      <c r="AW51" s="119">
        <f>SUM(AW47)</f>
        <v>1797940</v>
      </c>
      <c r="AX51" s="105">
        <f>SUM(AX47)</f>
        <v>1402468</v>
      </c>
      <c r="AY51" s="119">
        <f>SUM(AY47)</f>
        <v>1402468</v>
      </c>
    </row>
    <row r="52" spans="17:31" ht="18">
      <c r="Q52" s="101"/>
      <c r="R52" s="101"/>
      <c r="S52" s="101"/>
      <c r="T52" s="101"/>
      <c r="AA52" s="180"/>
      <c r="AB52" s="180"/>
      <c r="AC52" s="180"/>
      <c r="AD52" s="180"/>
      <c r="AE52" s="180"/>
    </row>
    <row r="53" spans="12:20" ht="18">
      <c r="L53" s="112"/>
      <c r="M53" s="112"/>
      <c r="N53" s="112"/>
      <c r="O53" s="112"/>
      <c r="P53" s="100"/>
      <c r="Q53" s="112"/>
      <c r="R53" s="112"/>
      <c r="S53" s="112"/>
      <c r="T53" s="112"/>
    </row>
    <row r="54" spans="17:20" ht="18">
      <c r="Q54" s="101"/>
      <c r="R54" s="101"/>
      <c r="S54" s="112"/>
      <c r="T54" s="112"/>
    </row>
    <row r="55" spans="17:20" ht="18">
      <c r="Q55" s="101"/>
      <c r="R55" s="112"/>
      <c r="S55" s="112"/>
      <c r="T55" s="112"/>
    </row>
    <row r="56" spans="17:20" ht="18">
      <c r="Q56" s="101"/>
      <c r="R56" s="101"/>
      <c r="S56" s="112"/>
      <c r="T56" s="112"/>
    </row>
    <row r="57" spans="17:20" ht="18">
      <c r="Q57" s="101"/>
      <c r="R57" s="101"/>
      <c r="S57" s="112"/>
      <c r="T57" s="101"/>
    </row>
    <row r="58" spans="17:20" ht="18">
      <c r="Q58" s="101"/>
      <c r="R58" s="101"/>
      <c r="S58" s="112"/>
      <c r="T58" s="112"/>
    </row>
    <row r="59" spans="17:20" ht="18">
      <c r="Q59" s="101"/>
      <c r="R59" s="112"/>
      <c r="S59" s="112"/>
      <c r="T59" s="112"/>
    </row>
    <row r="60" spans="17:20" ht="18">
      <c r="Q60" s="112"/>
      <c r="R60" s="112"/>
      <c r="S60" s="112"/>
      <c r="T60" s="112"/>
    </row>
    <row r="61" spans="17:20" ht="18">
      <c r="Q61" s="112"/>
      <c r="R61" s="112"/>
      <c r="S61" s="112"/>
      <c r="T61" s="112"/>
    </row>
    <row r="62" spans="17:20" ht="18">
      <c r="Q62" s="112"/>
      <c r="R62" s="112"/>
      <c r="S62" s="112"/>
      <c r="T62" s="112"/>
    </row>
    <row r="63" spans="17:20" ht="18">
      <c r="Q63" s="112"/>
      <c r="R63" s="112"/>
      <c r="S63" s="112"/>
      <c r="T63" s="112"/>
    </row>
    <row r="64" spans="17:20" ht="18">
      <c r="Q64" s="100"/>
      <c r="R64" s="100"/>
      <c r="S64" s="100"/>
      <c r="T64" s="100"/>
    </row>
    <row r="65" spans="17:20" ht="18">
      <c r="Q65" s="100"/>
      <c r="R65" s="100"/>
      <c r="S65" s="100"/>
      <c r="T65" s="100"/>
    </row>
    <row r="66" spans="17:20" ht="18">
      <c r="Q66" s="100"/>
      <c r="R66" s="100"/>
      <c r="S66" s="100"/>
      <c r="T66" s="100"/>
    </row>
    <row r="67" spans="17:20" ht="18">
      <c r="Q67" s="100"/>
      <c r="R67" s="100"/>
      <c r="S67" s="100"/>
      <c r="T67" s="100"/>
    </row>
  </sheetData>
  <sheetProtection/>
  <mergeCells count="63">
    <mergeCell ref="A1:E1"/>
    <mergeCell ref="F1:J1"/>
    <mergeCell ref="L1:P1"/>
    <mergeCell ref="Q1:T1"/>
    <mergeCell ref="U1:Y1"/>
    <mergeCell ref="Z1:AF1"/>
    <mergeCell ref="AG1:AJ1"/>
    <mergeCell ref="AK1:AP1"/>
    <mergeCell ref="AQ1:AU1"/>
    <mergeCell ref="AV1:AY1"/>
    <mergeCell ref="AZ1:BI1"/>
    <mergeCell ref="A2:E2"/>
    <mergeCell ref="F2:J2"/>
    <mergeCell ref="L2:P2"/>
    <mergeCell ref="Q2:T2"/>
    <mergeCell ref="U2:Y2"/>
    <mergeCell ref="Z2:AF2"/>
    <mergeCell ref="AG2:AJ2"/>
    <mergeCell ref="AK2:AP2"/>
    <mergeCell ref="AQ2:AU2"/>
    <mergeCell ref="AV2:AY2"/>
    <mergeCell ref="AZ2:BI2"/>
    <mergeCell ref="A3:E3"/>
    <mergeCell ref="F3:J3"/>
    <mergeCell ref="L3:P3"/>
    <mergeCell ref="Q3:T3"/>
    <mergeCell ref="U3:Y3"/>
    <mergeCell ref="Z3:AF3"/>
    <mergeCell ref="AG3:AJ3"/>
    <mergeCell ref="AK3:AP3"/>
    <mergeCell ref="AQ3:AU3"/>
    <mergeCell ref="AV3:AY3"/>
    <mergeCell ref="AZ3:BI3"/>
    <mergeCell ref="A29:E29"/>
    <mergeCell ref="F29:J29"/>
    <mergeCell ref="L29:P29"/>
    <mergeCell ref="Q29:T29"/>
    <mergeCell ref="Z29:AF29"/>
    <mergeCell ref="AK29:AP29"/>
    <mergeCell ref="AQ29:AU29"/>
    <mergeCell ref="AV29:AY29"/>
    <mergeCell ref="AZ29:BI29"/>
    <mergeCell ref="A30:E30"/>
    <mergeCell ref="F30:J30"/>
    <mergeCell ref="L30:P30"/>
    <mergeCell ref="Q30:T30"/>
    <mergeCell ref="Z30:AF30"/>
    <mergeCell ref="A31:E31"/>
    <mergeCell ref="F31:J31"/>
    <mergeCell ref="L31:P31"/>
    <mergeCell ref="Q31:T31"/>
    <mergeCell ref="Z31:AF31"/>
    <mergeCell ref="AG29:AJ29"/>
    <mergeCell ref="AG31:AJ31"/>
    <mergeCell ref="AK31:AP31"/>
    <mergeCell ref="AQ31:AU31"/>
    <mergeCell ref="AV31:AY31"/>
    <mergeCell ref="AZ31:BI31"/>
    <mergeCell ref="AG30:AJ30"/>
    <mergeCell ref="AK30:AP30"/>
    <mergeCell ref="AQ30:AU30"/>
    <mergeCell ref="AV30:AY30"/>
    <mergeCell ref="AZ30:BI30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90" zoomScalePageLayoutView="0" workbookViewId="0" topLeftCell="A1">
      <selection activeCell="E18" sqref="E18"/>
    </sheetView>
  </sheetViews>
  <sheetFormatPr defaultColWidth="9.140625" defaultRowHeight="15"/>
  <cols>
    <col min="1" max="1" width="16.140625" style="47" customWidth="1"/>
    <col min="2" max="2" width="12.00390625" style="47" customWidth="1"/>
    <col min="3" max="4" width="11.421875" style="47" customWidth="1"/>
    <col min="5" max="5" width="10.7109375" style="47" customWidth="1"/>
    <col min="6" max="6" width="10.421875" style="48" customWidth="1"/>
    <col min="7" max="7" width="8.421875" style="47" customWidth="1"/>
    <col min="8" max="8" width="10.57421875" style="47" customWidth="1"/>
    <col min="9" max="9" width="11.28125" style="47" customWidth="1"/>
    <col min="10" max="12" width="9.421875" style="47" customWidth="1"/>
    <col min="13" max="13" width="11.57421875" style="47" customWidth="1"/>
    <col min="14" max="14" width="8.28125" style="1" customWidth="1"/>
    <col min="15" max="16384" width="9.00390625" style="1" customWidth="1"/>
  </cols>
  <sheetData>
    <row r="1" spans="1:13" ht="23.25">
      <c r="A1" s="841" t="s">
        <v>30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</row>
    <row r="2" spans="1:13" ht="23.25">
      <c r="A2" s="841" t="s">
        <v>31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</row>
    <row r="3" spans="1:13" ht="24" thickBot="1">
      <c r="A3" s="841" t="s">
        <v>79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</row>
    <row r="4" spans="1:14" s="49" customFormat="1" ht="21">
      <c r="A4" s="842" t="s">
        <v>32</v>
      </c>
      <c r="B4" s="842" t="s">
        <v>33</v>
      </c>
      <c r="C4" s="842" t="s">
        <v>34</v>
      </c>
      <c r="D4" s="842" t="s">
        <v>35</v>
      </c>
      <c r="E4" s="845" t="s">
        <v>36</v>
      </c>
      <c r="F4" s="848" t="s">
        <v>6</v>
      </c>
      <c r="G4" s="845" t="s">
        <v>0</v>
      </c>
      <c r="H4" s="842" t="s">
        <v>37</v>
      </c>
      <c r="I4" s="842" t="s">
        <v>8</v>
      </c>
      <c r="J4" s="2" t="s">
        <v>38</v>
      </c>
      <c r="K4" s="2" t="s">
        <v>39</v>
      </c>
      <c r="L4" s="842" t="s">
        <v>1</v>
      </c>
      <c r="M4" s="842" t="s">
        <v>2</v>
      </c>
      <c r="N4" s="851" t="s">
        <v>40</v>
      </c>
    </row>
    <row r="5" spans="1:14" s="49" customFormat="1" ht="21">
      <c r="A5" s="843"/>
      <c r="B5" s="843"/>
      <c r="C5" s="843"/>
      <c r="D5" s="843"/>
      <c r="E5" s="846"/>
      <c r="F5" s="849"/>
      <c r="G5" s="846"/>
      <c r="H5" s="843"/>
      <c r="I5" s="843"/>
      <c r="J5" s="4" t="s">
        <v>41</v>
      </c>
      <c r="K5" s="4" t="s">
        <v>42</v>
      </c>
      <c r="L5" s="843"/>
      <c r="M5" s="843"/>
      <c r="N5" s="852"/>
    </row>
    <row r="6" spans="1:14" s="49" customFormat="1" ht="21.75" thickBot="1">
      <c r="A6" s="844"/>
      <c r="B6" s="844"/>
      <c r="C6" s="844"/>
      <c r="D6" s="844"/>
      <c r="E6" s="847"/>
      <c r="F6" s="850"/>
      <c r="G6" s="847"/>
      <c r="H6" s="844"/>
      <c r="I6" s="844"/>
      <c r="J6" s="6" t="s">
        <v>43</v>
      </c>
      <c r="K6" s="6" t="s">
        <v>9</v>
      </c>
      <c r="L6" s="844"/>
      <c r="M6" s="844"/>
      <c r="N6" s="853"/>
    </row>
    <row r="7" spans="1:14" ht="21">
      <c r="A7" s="8" t="s">
        <v>44</v>
      </c>
      <c r="B7" s="9"/>
      <c r="C7" s="9"/>
      <c r="D7" s="9"/>
      <c r="E7" s="9"/>
      <c r="F7" s="10"/>
      <c r="G7" s="11"/>
      <c r="H7" s="12"/>
      <c r="I7" s="9"/>
      <c r="J7" s="10"/>
      <c r="K7" s="13"/>
      <c r="L7" s="13"/>
      <c r="M7" s="10"/>
      <c r="N7" s="14"/>
    </row>
    <row r="8" spans="1:14" ht="21">
      <c r="A8" s="15" t="s">
        <v>45</v>
      </c>
      <c r="B8" s="9">
        <v>8512420</v>
      </c>
      <c r="C8" s="9">
        <f>SUM(D8:L8)</f>
        <v>0</v>
      </c>
      <c r="D8" s="9"/>
      <c r="E8" s="9"/>
      <c r="F8" s="10"/>
      <c r="G8" s="10"/>
      <c r="H8" s="12"/>
      <c r="I8" s="9"/>
      <c r="J8" s="10"/>
      <c r="K8" s="13"/>
      <c r="L8" s="13"/>
      <c r="M8" s="10"/>
      <c r="N8" s="14"/>
    </row>
    <row r="9" spans="1:14" ht="21">
      <c r="A9" s="15" t="s">
        <v>46</v>
      </c>
      <c r="B9" s="9">
        <v>208800</v>
      </c>
      <c r="C9" s="9">
        <f aca="true" t="shared" si="0" ref="C9:C18">SUM(D9:L9)</f>
        <v>0</v>
      </c>
      <c r="D9" s="9"/>
      <c r="E9" s="12"/>
      <c r="F9" s="10"/>
      <c r="G9" s="10"/>
      <c r="H9" s="12"/>
      <c r="I9" s="9"/>
      <c r="J9" s="10"/>
      <c r="K9" s="13"/>
      <c r="L9" s="13"/>
      <c r="M9" s="10"/>
      <c r="N9" s="14"/>
    </row>
    <row r="10" spans="1:14" ht="21">
      <c r="A10" s="16" t="s">
        <v>47</v>
      </c>
      <c r="B10" s="12">
        <v>3541120</v>
      </c>
      <c r="C10" s="9">
        <f t="shared" si="0"/>
        <v>0</v>
      </c>
      <c r="D10" s="9"/>
      <c r="E10" s="9"/>
      <c r="F10" s="10"/>
      <c r="G10" s="11"/>
      <c r="H10" s="12"/>
      <c r="I10" s="9"/>
      <c r="J10" s="10"/>
      <c r="K10" s="13"/>
      <c r="L10" s="13"/>
      <c r="M10" s="10"/>
      <c r="N10" s="14"/>
    </row>
    <row r="11" spans="1:14" ht="21">
      <c r="A11" s="16" t="s">
        <v>48</v>
      </c>
      <c r="B11" s="12">
        <v>1059200</v>
      </c>
      <c r="C11" s="9">
        <f t="shared" si="0"/>
        <v>0</v>
      </c>
      <c r="D11" s="9"/>
      <c r="E11" s="9"/>
      <c r="F11" s="10"/>
      <c r="G11" s="9"/>
      <c r="H11" s="12"/>
      <c r="I11" s="9"/>
      <c r="J11" s="10"/>
      <c r="K11" s="13"/>
      <c r="L11" s="13"/>
      <c r="M11" s="10"/>
      <c r="N11" s="14"/>
    </row>
    <row r="12" spans="1:14" ht="21">
      <c r="A12" s="15" t="s">
        <v>49</v>
      </c>
      <c r="B12" s="12">
        <v>5232200</v>
      </c>
      <c r="C12" s="9">
        <f t="shared" si="0"/>
        <v>0</v>
      </c>
      <c r="D12" s="9"/>
      <c r="E12" s="9"/>
      <c r="F12" s="10"/>
      <c r="G12" s="12"/>
      <c r="H12" s="12"/>
      <c r="I12" s="9"/>
      <c r="J12" s="10"/>
      <c r="K12" s="13"/>
      <c r="L12" s="13"/>
      <c r="M12" s="10"/>
      <c r="N12" s="17"/>
    </row>
    <row r="13" spans="1:14" ht="21">
      <c r="A13" s="15" t="s">
        <v>50</v>
      </c>
      <c r="B13" s="9">
        <v>4117600</v>
      </c>
      <c r="C13" s="9">
        <f t="shared" si="0"/>
        <v>0</v>
      </c>
      <c r="D13" s="9"/>
      <c r="E13" s="9"/>
      <c r="F13" s="18"/>
      <c r="G13" s="12"/>
      <c r="H13" s="12"/>
      <c r="I13" s="9"/>
      <c r="J13" s="10"/>
      <c r="K13" s="13"/>
      <c r="L13" s="13"/>
      <c r="M13" s="10"/>
      <c r="N13" s="14"/>
    </row>
    <row r="14" spans="1:14" ht="21">
      <c r="A14" s="15" t="s">
        <v>51</v>
      </c>
      <c r="B14" s="9">
        <v>445000</v>
      </c>
      <c r="C14" s="9">
        <f t="shared" si="0"/>
        <v>0</v>
      </c>
      <c r="D14" s="9"/>
      <c r="E14" s="9"/>
      <c r="F14" s="10"/>
      <c r="G14" s="12"/>
      <c r="H14" s="12"/>
      <c r="I14" s="9"/>
      <c r="J14" s="10"/>
      <c r="K14" s="13"/>
      <c r="L14" s="13"/>
      <c r="M14" s="10"/>
      <c r="N14" s="14"/>
    </row>
    <row r="15" spans="1:14" ht="21">
      <c r="A15" s="15" t="s">
        <v>52</v>
      </c>
      <c r="B15" s="9">
        <v>4355029</v>
      </c>
      <c r="C15" s="9">
        <f t="shared" si="0"/>
        <v>0</v>
      </c>
      <c r="D15" s="12"/>
      <c r="E15" s="9"/>
      <c r="F15" s="10"/>
      <c r="G15" s="12"/>
      <c r="H15" s="12"/>
      <c r="I15" s="9"/>
      <c r="J15" s="10"/>
      <c r="K15" s="13"/>
      <c r="L15" s="13"/>
      <c r="M15" s="10"/>
      <c r="N15" s="14"/>
    </row>
    <row r="16" spans="1:14" ht="21">
      <c r="A16" s="15" t="s">
        <v>53</v>
      </c>
      <c r="B16" s="9">
        <v>1691620</v>
      </c>
      <c r="C16" s="9">
        <f t="shared" si="0"/>
        <v>0</v>
      </c>
      <c r="D16" s="19"/>
      <c r="E16" s="19"/>
      <c r="F16" s="10"/>
      <c r="G16" s="12"/>
      <c r="H16" s="12"/>
      <c r="I16" s="12"/>
      <c r="J16" s="10"/>
      <c r="K16" s="13"/>
      <c r="L16" s="13"/>
      <c r="M16" s="12"/>
      <c r="N16" s="14"/>
    </row>
    <row r="17" spans="1:14" ht="21">
      <c r="A17" s="15" t="s">
        <v>54</v>
      </c>
      <c r="B17" s="9">
        <v>2856040</v>
      </c>
      <c r="C17" s="9">
        <f t="shared" si="0"/>
        <v>0</v>
      </c>
      <c r="D17" s="12"/>
      <c r="E17" s="20"/>
      <c r="F17" s="12"/>
      <c r="G17" s="20"/>
      <c r="H17" s="12"/>
      <c r="I17" s="12"/>
      <c r="J17" s="20"/>
      <c r="K17" s="20"/>
      <c r="L17" s="12"/>
      <c r="M17" s="10"/>
      <c r="N17" s="14"/>
    </row>
    <row r="18" spans="1:14" ht="21.75" thickBot="1">
      <c r="A18" s="21" t="s">
        <v>55</v>
      </c>
      <c r="B18" s="22">
        <v>7727628</v>
      </c>
      <c r="C18" s="9">
        <f t="shared" si="0"/>
        <v>0</v>
      </c>
      <c r="D18" s="12"/>
      <c r="E18" s="20"/>
      <c r="F18" s="20"/>
      <c r="G18" s="20"/>
      <c r="H18" s="20"/>
      <c r="I18" s="12"/>
      <c r="J18" s="20"/>
      <c r="K18" s="20"/>
      <c r="L18" s="20"/>
      <c r="M18" s="10"/>
      <c r="N18" s="14"/>
    </row>
    <row r="19" spans="1:14" ht="21.75" customHeight="1" thickBot="1">
      <c r="A19" s="24"/>
      <c r="B19" s="25"/>
      <c r="C19" s="26"/>
      <c r="D19" s="27"/>
      <c r="E19" s="27"/>
      <c r="F19" s="27"/>
      <c r="G19" s="23"/>
      <c r="H19" s="23"/>
      <c r="I19" s="23"/>
      <c r="J19" s="27"/>
      <c r="K19" s="23"/>
      <c r="L19" s="23"/>
      <c r="M19" s="23"/>
      <c r="N19" s="14"/>
    </row>
    <row r="20" spans="1:14" ht="21.75" thickBot="1">
      <c r="A20" s="28" t="s">
        <v>56</v>
      </c>
      <c r="B20" s="29">
        <f>SUM(B7:B19)</f>
        <v>39746657</v>
      </c>
      <c r="C20" s="29">
        <f>SUM(C8:C19)</f>
        <v>0</v>
      </c>
      <c r="D20" s="29">
        <f>SUM(D7:D19)</f>
        <v>0</v>
      </c>
      <c r="E20" s="29">
        <f>SUM(E8:E19)</f>
        <v>0</v>
      </c>
      <c r="F20" s="25">
        <f>SUM(F7:F19)</f>
        <v>0</v>
      </c>
      <c r="G20" s="29">
        <f>SUM(G8:G19)</f>
        <v>0</v>
      </c>
      <c r="H20" s="29">
        <f aca="true" t="shared" si="1" ref="H20:M20">SUM(H7:H19)</f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0</v>
      </c>
      <c r="N20" s="30"/>
    </row>
    <row r="21" spans="1:14" ht="21">
      <c r="A21" s="842" t="s">
        <v>32</v>
      </c>
      <c r="B21" s="842" t="s">
        <v>33</v>
      </c>
      <c r="C21" s="842" t="s">
        <v>34</v>
      </c>
      <c r="D21" s="842" t="s">
        <v>35</v>
      </c>
      <c r="E21" s="854" t="s">
        <v>36</v>
      </c>
      <c r="F21" s="848" t="s">
        <v>6</v>
      </c>
      <c r="G21" s="845" t="s">
        <v>0</v>
      </c>
      <c r="H21" s="842" t="s">
        <v>37</v>
      </c>
      <c r="I21" s="842" t="s">
        <v>8</v>
      </c>
      <c r="J21" s="3" t="s">
        <v>38</v>
      </c>
      <c r="K21" s="3" t="s">
        <v>39</v>
      </c>
      <c r="L21" s="842" t="s">
        <v>1</v>
      </c>
      <c r="M21" s="842" t="s">
        <v>57</v>
      </c>
      <c r="N21" s="857"/>
    </row>
    <row r="22" spans="1:14" ht="21">
      <c r="A22" s="843"/>
      <c r="B22" s="843"/>
      <c r="C22" s="843"/>
      <c r="D22" s="843"/>
      <c r="E22" s="855"/>
      <c r="F22" s="849"/>
      <c r="G22" s="846"/>
      <c r="H22" s="843"/>
      <c r="I22" s="843"/>
      <c r="J22" s="5" t="s">
        <v>41</v>
      </c>
      <c r="K22" s="5" t="s">
        <v>42</v>
      </c>
      <c r="L22" s="843"/>
      <c r="M22" s="843"/>
      <c r="N22" s="858"/>
    </row>
    <row r="23" spans="1:14" ht="21.75" thickBot="1">
      <c r="A23" s="844"/>
      <c r="B23" s="844"/>
      <c r="C23" s="844"/>
      <c r="D23" s="844"/>
      <c r="E23" s="856"/>
      <c r="F23" s="850"/>
      <c r="G23" s="847"/>
      <c r="H23" s="844"/>
      <c r="I23" s="844"/>
      <c r="J23" s="7" t="s">
        <v>43</v>
      </c>
      <c r="K23" s="7" t="s">
        <v>9</v>
      </c>
      <c r="L23" s="844"/>
      <c r="M23" s="844"/>
      <c r="N23" s="859"/>
    </row>
    <row r="24" spans="1:14" ht="21">
      <c r="A24" s="8" t="s">
        <v>58</v>
      </c>
      <c r="B24" s="9">
        <v>287000</v>
      </c>
      <c r="C24" s="9"/>
      <c r="D24" s="9"/>
      <c r="E24" s="9"/>
      <c r="F24" s="10"/>
      <c r="G24" s="19"/>
      <c r="H24" s="9"/>
      <c r="I24" s="9"/>
      <c r="J24" s="19"/>
      <c r="K24" s="12"/>
      <c r="L24" s="12"/>
      <c r="M24" s="19"/>
      <c r="N24" s="14"/>
    </row>
    <row r="25" spans="1:14" ht="21">
      <c r="A25" s="15" t="s">
        <v>59</v>
      </c>
      <c r="B25" s="12">
        <v>403000</v>
      </c>
      <c r="C25" s="12"/>
      <c r="D25" s="9"/>
      <c r="E25" s="9"/>
      <c r="F25" s="10"/>
      <c r="G25" s="19"/>
      <c r="H25" s="9"/>
      <c r="I25" s="9"/>
      <c r="J25" s="19"/>
      <c r="K25" s="12"/>
      <c r="L25" s="12"/>
      <c r="M25" s="19"/>
      <c r="N25" s="14"/>
    </row>
    <row r="26" spans="1:14" ht="21">
      <c r="A26" s="15" t="s">
        <v>60</v>
      </c>
      <c r="B26" s="9"/>
      <c r="C26" s="9"/>
      <c r="D26" s="9"/>
      <c r="E26" s="12"/>
      <c r="F26" s="10"/>
      <c r="G26" s="19"/>
      <c r="H26" s="9"/>
      <c r="I26" s="9"/>
      <c r="J26" s="19"/>
      <c r="K26" s="12"/>
      <c r="L26" s="12"/>
      <c r="M26" s="19"/>
      <c r="N26" s="14"/>
    </row>
    <row r="27" spans="1:14" ht="21">
      <c r="A27" s="15" t="s">
        <v>61</v>
      </c>
      <c r="B27" s="9">
        <v>500000</v>
      </c>
      <c r="C27" s="9"/>
      <c r="D27" s="9"/>
      <c r="E27" s="9"/>
      <c r="F27" s="10"/>
      <c r="G27" s="19"/>
      <c r="H27" s="9"/>
      <c r="I27" s="9"/>
      <c r="J27" s="19"/>
      <c r="K27" s="12"/>
      <c r="L27" s="12"/>
      <c r="M27" s="19"/>
      <c r="N27" s="14"/>
    </row>
    <row r="28" spans="1:14" ht="21">
      <c r="A28" s="15" t="s">
        <v>62</v>
      </c>
      <c r="B28" s="12">
        <v>0</v>
      </c>
      <c r="C28" s="12"/>
      <c r="D28" s="9"/>
      <c r="E28" s="9"/>
      <c r="F28" s="10"/>
      <c r="G28" s="9"/>
      <c r="H28" s="9"/>
      <c r="I28" s="9"/>
      <c r="J28" s="19"/>
      <c r="K28" s="12"/>
      <c r="L28" s="9"/>
      <c r="M28" s="19"/>
      <c r="N28" s="14"/>
    </row>
    <row r="29" spans="1:14" ht="21">
      <c r="A29" s="15" t="s">
        <v>63</v>
      </c>
      <c r="B29" s="9">
        <v>230000</v>
      </c>
      <c r="C29" s="9"/>
      <c r="D29" s="9"/>
      <c r="E29" s="9"/>
      <c r="F29" s="10"/>
      <c r="G29" s="12"/>
      <c r="H29" s="9"/>
      <c r="I29" s="9"/>
      <c r="J29" s="19"/>
      <c r="K29" s="9"/>
      <c r="L29" s="9"/>
      <c r="M29" s="19"/>
      <c r="N29" s="14"/>
    </row>
    <row r="30" spans="1:14" ht="21">
      <c r="A30" s="15" t="s">
        <v>64</v>
      </c>
      <c r="B30" s="9">
        <v>10000</v>
      </c>
      <c r="C30" s="9"/>
      <c r="D30" s="9"/>
      <c r="E30" s="9"/>
      <c r="F30" s="10"/>
      <c r="G30" s="12"/>
      <c r="H30" s="9"/>
      <c r="I30" s="9"/>
      <c r="J30" s="19"/>
      <c r="K30" s="12"/>
      <c r="L30" s="9"/>
      <c r="M30" s="19"/>
      <c r="N30" s="14"/>
    </row>
    <row r="31" spans="1:14" ht="21">
      <c r="A31" s="15" t="s">
        <v>65</v>
      </c>
      <c r="B31" s="9">
        <v>18570000</v>
      </c>
      <c r="C31" s="9"/>
      <c r="D31" s="9"/>
      <c r="E31" s="9"/>
      <c r="F31" s="10"/>
      <c r="G31" s="12"/>
      <c r="H31" s="12"/>
      <c r="I31" s="9"/>
      <c r="J31" s="19"/>
      <c r="K31" s="9"/>
      <c r="L31" s="12"/>
      <c r="M31" s="19"/>
      <c r="N31" s="14"/>
    </row>
    <row r="32" spans="1:14" ht="21">
      <c r="A32" s="15" t="s">
        <v>66</v>
      </c>
      <c r="B32" s="9">
        <v>20000000</v>
      </c>
      <c r="C32" s="9"/>
      <c r="D32" s="9"/>
      <c r="E32" s="9"/>
      <c r="F32" s="10"/>
      <c r="G32" s="12"/>
      <c r="H32" s="9"/>
      <c r="I32" s="9"/>
      <c r="J32" s="19"/>
      <c r="K32" s="9"/>
      <c r="L32" s="9"/>
      <c r="M32" s="19"/>
      <c r="N32" s="14"/>
    </row>
    <row r="33" spans="1:14" ht="21.75" thickBot="1">
      <c r="A33" s="15" t="s">
        <v>67</v>
      </c>
      <c r="B33" s="9"/>
      <c r="C33" s="9"/>
      <c r="D33" s="5"/>
      <c r="E33" s="5"/>
      <c r="F33" s="10"/>
      <c r="G33" s="12"/>
      <c r="H33" s="12"/>
      <c r="I33" s="9"/>
      <c r="J33" s="19"/>
      <c r="K33" s="12"/>
      <c r="L33" s="12"/>
      <c r="M33" s="19"/>
      <c r="N33" s="14"/>
    </row>
    <row r="34" spans="1:14" ht="21.75" thickBot="1">
      <c r="A34" s="31" t="s">
        <v>68</v>
      </c>
      <c r="B34" s="32">
        <f>SUM(B22:B33)</f>
        <v>40000000</v>
      </c>
      <c r="C34" s="32">
        <f>SUM(C22:C33)</f>
        <v>0</v>
      </c>
      <c r="D34" s="33"/>
      <c r="E34" s="33"/>
      <c r="F34" s="34"/>
      <c r="G34" s="35"/>
      <c r="H34" s="35"/>
      <c r="I34" s="35"/>
      <c r="J34" s="36"/>
      <c r="K34" s="35"/>
      <c r="L34" s="35"/>
      <c r="M34" s="35"/>
      <c r="N34" s="37"/>
    </row>
    <row r="35" spans="1:14" ht="21.75" thickBot="1">
      <c r="A35" s="5" t="s">
        <v>69</v>
      </c>
      <c r="B35" s="9"/>
      <c r="C35" s="9"/>
      <c r="D35" s="33"/>
      <c r="E35" s="33"/>
      <c r="F35" s="34"/>
      <c r="G35" s="32"/>
      <c r="H35" s="32"/>
      <c r="I35" s="32"/>
      <c r="J35" s="36"/>
      <c r="K35" s="32"/>
      <c r="L35" s="32"/>
      <c r="M35" s="32"/>
      <c r="N35" s="38"/>
    </row>
    <row r="36" spans="1:13" ht="21.75" thickBot="1">
      <c r="A36" s="39" t="s">
        <v>70</v>
      </c>
      <c r="B36" s="40"/>
      <c r="C36" s="41"/>
      <c r="D36" s="42"/>
      <c r="E36" s="42"/>
      <c r="F36" s="43"/>
      <c r="G36" s="42"/>
      <c r="H36" s="42"/>
      <c r="I36" s="42"/>
      <c r="J36" s="42"/>
      <c r="K36" s="42"/>
      <c r="L36" s="42"/>
      <c r="M36" s="42"/>
    </row>
    <row r="37" spans="1:13" ht="21">
      <c r="A37" s="44"/>
      <c r="B37" s="42"/>
      <c r="C37" s="42"/>
      <c r="D37" s="42"/>
      <c r="E37" s="42"/>
      <c r="F37" s="43"/>
      <c r="G37" s="42"/>
      <c r="H37" s="42"/>
      <c r="I37" s="42"/>
      <c r="J37" s="42"/>
      <c r="K37" s="42"/>
      <c r="L37" s="42"/>
      <c r="M37" s="42"/>
    </row>
    <row r="38" spans="1:13" s="226" customFormat="1" ht="21">
      <c r="A38" s="223"/>
      <c r="B38" s="224"/>
      <c r="C38" s="224"/>
      <c r="D38" s="224"/>
      <c r="E38" s="224"/>
      <c r="F38" s="225"/>
      <c r="G38" s="224"/>
      <c r="H38" s="224"/>
      <c r="I38" s="224"/>
      <c r="J38" s="224"/>
      <c r="K38" s="224"/>
      <c r="L38" s="224"/>
      <c r="M38" s="224"/>
    </row>
    <row r="39" spans="1:13" ht="23.25">
      <c r="A39" s="841" t="s">
        <v>71</v>
      </c>
      <c r="B39" s="841"/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</row>
    <row r="40" spans="1:13" ht="23.25">
      <c r="A40" s="841" t="s">
        <v>31</v>
      </c>
      <c r="B40" s="841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</row>
    <row r="41" spans="1:13" ht="24" thickBot="1">
      <c r="A41" s="841" t="s">
        <v>72</v>
      </c>
      <c r="B41" s="841"/>
      <c r="C41" s="841"/>
      <c r="D41" s="841"/>
      <c r="E41" s="841"/>
      <c r="F41" s="841"/>
      <c r="G41" s="841"/>
      <c r="H41" s="841"/>
      <c r="I41" s="841"/>
      <c r="J41" s="841"/>
      <c r="K41" s="841"/>
      <c r="L41" s="841"/>
      <c r="M41" s="841"/>
    </row>
    <row r="42" spans="1:13" ht="21">
      <c r="A42" s="842" t="s">
        <v>32</v>
      </c>
      <c r="B42" s="842" t="s">
        <v>33</v>
      </c>
      <c r="C42" s="842" t="s">
        <v>34</v>
      </c>
      <c r="D42" s="842" t="s">
        <v>35</v>
      </c>
      <c r="E42" s="854" t="s">
        <v>36</v>
      </c>
      <c r="F42" s="848" t="s">
        <v>6</v>
      </c>
      <c r="G42" s="845" t="s">
        <v>0</v>
      </c>
      <c r="H42" s="842" t="s">
        <v>37</v>
      </c>
      <c r="I42" s="842" t="s">
        <v>8</v>
      </c>
      <c r="J42" s="3" t="s">
        <v>38</v>
      </c>
      <c r="K42" s="3" t="s">
        <v>39</v>
      </c>
      <c r="L42" s="842" t="s">
        <v>40</v>
      </c>
      <c r="M42" s="842" t="s">
        <v>2</v>
      </c>
    </row>
    <row r="43" spans="1:13" ht="21">
      <c r="A43" s="843"/>
      <c r="B43" s="843"/>
      <c r="C43" s="843"/>
      <c r="D43" s="843"/>
      <c r="E43" s="855"/>
      <c r="F43" s="849"/>
      <c r="G43" s="846"/>
      <c r="H43" s="843"/>
      <c r="I43" s="843"/>
      <c r="J43" s="5" t="s">
        <v>41</v>
      </c>
      <c r="K43" s="5" t="s">
        <v>42</v>
      </c>
      <c r="L43" s="843"/>
      <c r="M43" s="843"/>
    </row>
    <row r="44" spans="1:13" ht="21.75" thickBot="1">
      <c r="A44" s="844"/>
      <c r="B44" s="844"/>
      <c r="C44" s="844"/>
      <c r="D44" s="844"/>
      <c r="E44" s="856"/>
      <c r="F44" s="850"/>
      <c r="G44" s="847"/>
      <c r="H44" s="844"/>
      <c r="I44" s="844"/>
      <c r="J44" s="7" t="s">
        <v>43</v>
      </c>
      <c r="K44" s="7" t="s">
        <v>9</v>
      </c>
      <c r="L44" s="844"/>
      <c r="M44" s="844"/>
    </row>
    <row r="45" spans="1:13" ht="21">
      <c r="A45" s="8" t="s">
        <v>44</v>
      </c>
      <c r="B45" s="9"/>
      <c r="C45" s="9"/>
      <c r="D45" s="9"/>
      <c r="E45" s="9">
        <v>0</v>
      </c>
      <c r="F45" s="10"/>
      <c r="G45" s="11"/>
      <c r="H45" s="12"/>
      <c r="I45" s="9"/>
      <c r="J45" s="10" t="s">
        <v>27</v>
      </c>
      <c r="K45" s="13" t="s">
        <v>27</v>
      </c>
      <c r="L45" s="13" t="s">
        <v>27</v>
      </c>
      <c r="M45" s="10" t="s">
        <v>27</v>
      </c>
    </row>
    <row r="46" spans="1:13" ht="21">
      <c r="A46" s="15" t="s">
        <v>73</v>
      </c>
      <c r="B46" s="9"/>
      <c r="C46" s="9"/>
      <c r="D46" s="9"/>
      <c r="E46" s="9"/>
      <c r="F46" s="10"/>
      <c r="G46" s="10"/>
      <c r="H46" s="12"/>
      <c r="I46" s="9"/>
      <c r="J46" s="10"/>
      <c r="K46" s="13"/>
      <c r="L46" s="13"/>
      <c r="M46" s="10"/>
    </row>
    <row r="47" spans="1:13" ht="21">
      <c r="A47" s="15" t="s">
        <v>46</v>
      </c>
      <c r="B47" s="9"/>
      <c r="C47" s="9"/>
      <c r="D47" s="9"/>
      <c r="E47" s="12"/>
      <c r="F47" s="10"/>
      <c r="G47" s="10"/>
      <c r="H47" s="12"/>
      <c r="I47" s="9"/>
      <c r="J47" s="10"/>
      <c r="K47" s="13"/>
      <c r="L47" s="13"/>
      <c r="M47" s="10"/>
    </row>
    <row r="48" spans="1:13" ht="21">
      <c r="A48" s="16" t="s">
        <v>74</v>
      </c>
      <c r="B48" s="12"/>
      <c r="C48" s="9"/>
      <c r="D48" s="9"/>
      <c r="E48" s="9"/>
      <c r="F48" s="10"/>
      <c r="G48" s="11"/>
      <c r="H48" s="12"/>
      <c r="I48" s="9"/>
      <c r="J48" s="10"/>
      <c r="K48" s="13"/>
      <c r="L48" s="13"/>
      <c r="M48" s="10"/>
    </row>
    <row r="49" spans="1:13" ht="21">
      <c r="A49" s="16" t="s">
        <v>75</v>
      </c>
      <c r="B49" s="12"/>
      <c r="C49" s="9"/>
      <c r="D49" s="9"/>
      <c r="E49" s="9"/>
      <c r="F49" s="10"/>
      <c r="G49" s="9"/>
      <c r="H49" s="12"/>
      <c r="I49" s="9"/>
      <c r="J49" s="10"/>
      <c r="K49" s="13"/>
      <c r="L49" s="13"/>
      <c r="M49" s="10"/>
    </row>
    <row r="50" spans="1:13" ht="21">
      <c r="A50" s="15" t="s">
        <v>76</v>
      </c>
      <c r="B50" s="12"/>
      <c r="C50" s="9"/>
      <c r="D50" s="9"/>
      <c r="E50" s="9"/>
      <c r="F50" s="10"/>
      <c r="G50" s="12"/>
      <c r="H50" s="12"/>
      <c r="I50" s="9"/>
      <c r="J50" s="10"/>
      <c r="K50" s="13"/>
      <c r="L50" s="13"/>
      <c r="M50" s="10"/>
    </row>
    <row r="51" spans="1:13" ht="21">
      <c r="A51" s="15" t="s">
        <v>77</v>
      </c>
      <c r="B51" s="9"/>
      <c r="C51" s="9"/>
      <c r="D51" s="9"/>
      <c r="E51" s="9"/>
      <c r="F51" s="18"/>
      <c r="G51" s="12"/>
      <c r="H51" s="12"/>
      <c r="I51" s="9"/>
      <c r="J51" s="10"/>
      <c r="K51" s="13"/>
      <c r="L51" s="13"/>
      <c r="M51" s="10"/>
    </row>
    <row r="52" spans="1:13" ht="21">
      <c r="A52" s="15" t="s">
        <v>51</v>
      </c>
      <c r="B52" s="9"/>
      <c r="C52" s="9"/>
      <c r="D52" s="9"/>
      <c r="E52" s="9"/>
      <c r="F52" s="10"/>
      <c r="G52" s="12"/>
      <c r="H52" s="12"/>
      <c r="I52" s="9"/>
      <c r="J52" s="10"/>
      <c r="K52" s="13"/>
      <c r="L52" s="13"/>
      <c r="M52" s="10"/>
    </row>
    <row r="53" spans="1:13" ht="21">
      <c r="A53" s="15" t="s">
        <v>52</v>
      </c>
      <c r="B53" s="9"/>
      <c r="C53" s="9"/>
      <c r="D53" s="12"/>
      <c r="E53" s="9"/>
      <c r="F53" s="10"/>
      <c r="G53" s="12"/>
      <c r="H53" s="12"/>
      <c r="I53" s="9"/>
      <c r="J53" s="10"/>
      <c r="K53" s="13"/>
      <c r="L53" s="13"/>
      <c r="M53" s="10"/>
    </row>
    <row r="54" spans="1:13" ht="21">
      <c r="A54" s="15" t="s">
        <v>78</v>
      </c>
      <c r="B54" s="9"/>
      <c r="C54" s="12"/>
      <c r="D54" s="19"/>
      <c r="E54" s="19"/>
      <c r="F54" s="10"/>
      <c r="G54" s="12"/>
      <c r="H54" s="12"/>
      <c r="I54" s="12"/>
      <c r="J54" s="10"/>
      <c r="K54" s="13"/>
      <c r="L54" s="13"/>
      <c r="M54" s="10"/>
    </row>
    <row r="55" spans="1:13" ht="21">
      <c r="A55" s="15" t="s">
        <v>2</v>
      </c>
      <c r="B55" s="9"/>
      <c r="C55" s="12"/>
      <c r="D55" s="20"/>
      <c r="E55" s="20"/>
      <c r="F55" s="20"/>
      <c r="G55" s="20"/>
      <c r="H55" s="20"/>
      <c r="I55" s="20"/>
      <c r="J55" s="20"/>
      <c r="K55" s="20"/>
      <c r="L55" s="20"/>
      <c r="M55" s="10"/>
    </row>
    <row r="56" spans="1:13" ht="21">
      <c r="A56" s="15" t="s">
        <v>54</v>
      </c>
      <c r="B56" s="9"/>
      <c r="C56" s="45"/>
      <c r="D56" s="20"/>
      <c r="E56" s="20"/>
      <c r="F56" s="20"/>
      <c r="G56" s="20"/>
      <c r="H56" s="20"/>
      <c r="I56" s="20"/>
      <c r="J56" s="20"/>
      <c r="K56" s="20"/>
      <c r="L56" s="20"/>
      <c r="M56" s="10"/>
    </row>
    <row r="57" spans="1:13" ht="21.75" thickBot="1">
      <c r="A57" s="46" t="s">
        <v>55</v>
      </c>
      <c r="B57" s="25"/>
      <c r="C57" s="23"/>
      <c r="D57" s="27"/>
      <c r="E57" s="27"/>
      <c r="F57" s="27"/>
      <c r="G57" s="23"/>
      <c r="H57" s="23"/>
      <c r="I57" s="23"/>
      <c r="J57" s="27"/>
      <c r="K57" s="23"/>
      <c r="L57" s="23"/>
      <c r="M57" s="23"/>
    </row>
    <row r="58" spans="1:13" ht="21.75" thickBot="1">
      <c r="A58" s="28" t="s">
        <v>56</v>
      </c>
      <c r="B58" s="29">
        <f>SUM(B45:B57)</f>
        <v>0</v>
      </c>
      <c r="C58" s="29"/>
      <c r="D58" s="29"/>
      <c r="E58" s="29"/>
      <c r="F58" s="25"/>
      <c r="G58" s="29"/>
      <c r="H58" s="29"/>
      <c r="I58" s="29"/>
      <c r="J58" s="29"/>
      <c r="K58" s="29"/>
      <c r="L58" s="29"/>
      <c r="M58" s="29"/>
    </row>
    <row r="59" spans="1:13" ht="21">
      <c r="A59" s="842" t="s">
        <v>32</v>
      </c>
      <c r="B59" s="842" t="s">
        <v>33</v>
      </c>
      <c r="C59" s="842" t="s">
        <v>34</v>
      </c>
      <c r="D59" s="842" t="s">
        <v>35</v>
      </c>
      <c r="E59" s="854" t="s">
        <v>36</v>
      </c>
      <c r="F59" s="848" t="s">
        <v>6</v>
      </c>
      <c r="G59" s="845" t="s">
        <v>0</v>
      </c>
      <c r="H59" s="842" t="s">
        <v>37</v>
      </c>
      <c r="I59" s="842" t="s">
        <v>8</v>
      </c>
      <c r="J59" s="3" t="s">
        <v>38</v>
      </c>
      <c r="K59" s="3" t="s">
        <v>39</v>
      </c>
      <c r="L59" s="842" t="s">
        <v>40</v>
      </c>
      <c r="M59" s="842" t="s">
        <v>57</v>
      </c>
    </row>
    <row r="60" spans="1:13" ht="21">
      <c r="A60" s="843"/>
      <c r="B60" s="843"/>
      <c r="C60" s="843"/>
      <c r="D60" s="843"/>
      <c r="E60" s="855"/>
      <c r="F60" s="849"/>
      <c r="G60" s="846"/>
      <c r="H60" s="843"/>
      <c r="I60" s="843"/>
      <c r="J60" s="5" t="s">
        <v>41</v>
      </c>
      <c r="K60" s="5" t="s">
        <v>42</v>
      </c>
      <c r="L60" s="843"/>
      <c r="M60" s="843"/>
    </row>
    <row r="61" spans="1:13" ht="21.75" thickBot="1">
      <c r="A61" s="844"/>
      <c r="B61" s="844"/>
      <c r="C61" s="844"/>
      <c r="D61" s="844"/>
      <c r="E61" s="856"/>
      <c r="F61" s="850"/>
      <c r="G61" s="847"/>
      <c r="H61" s="844"/>
      <c r="I61" s="844"/>
      <c r="J61" s="7" t="s">
        <v>43</v>
      </c>
      <c r="K61" s="7" t="s">
        <v>9</v>
      </c>
      <c r="L61" s="844"/>
      <c r="M61" s="844"/>
    </row>
    <row r="62" spans="1:13" ht="21">
      <c r="A62" s="8" t="s">
        <v>58</v>
      </c>
      <c r="B62" s="9">
        <v>1310000</v>
      </c>
      <c r="C62" s="9"/>
      <c r="D62" s="9"/>
      <c r="E62" s="9"/>
      <c r="F62" s="10"/>
      <c r="G62" s="19"/>
      <c r="H62" s="9"/>
      <c r="I62" s="9"/>
      <c r="J62" s="19"/>
      <c r="K62" s="12"/>
      <c r="L62" s="12"/>
      <c r="M62" s="19"/>
    </row>
    <row r="63" spans="1:13" ht="21">
      <c r="A63" s="15" t="s">
        <v>59</v>
      </c>
      <c r="B63" s="12"/>
      <c r="C63" s="12"/>
      <c r="D63" s="9"/>
      <c r="E63" s="9"/>
      <c r="F63" s="10"/>
      <c r="G63" s="19"/>
      <c r="H63" s="9"/>
      <c r="I63" s="9"/>
      <c r="J63" s="19"/>
      <c r="K63" s="12"/>
      <c r="L63" s="12"/>
      <c r="M63" s="19"/>
    </row>
    <row r="64" spans="1:13" ht="21">
      <c r="A64" s="15" t="s">
        <v>60</v>
      </c>
      <c r="B64" s="9">
        <v>913000</v>
      </c>
      <c r="C64" s="9"/>
      <c r="D64" s="9"/>
      <c r="E64" s="12"/>
      <c r="F64" s="10"/>
      <c r="G64" s="19"/>
      <c r="H64" s="9"/>
      <c r="I64" s="9"/>
      <c r="J64" s="19"/>
      <c r="K64" s="12"/>
      <c r="L64" s="12"/>
      <c r="M64" s="19"/>
    </row>
    <row r="65" spans="1:13" ht="21">
      <c r="A65" s="15" t="s">
        <v>61</v>
      </c>
      <c r="B65" s="9">
        <v>1612000</v>
      </c>
      <c r="C65" s="9"/>
      <c r="D65" s="9"/>
      <c r="E65" s="9"/>
      <c r="F65" s="10"/>
      <c r="G65" s="19"/>
      <c r="H65" s="9"/>
      <c r="I65" s="9"/>
      <c r="J65" s="19"/>
      <c r="K65" s="12"/>
      <c r="L65" s="12"/>
      <c r="M65" s="19"/>
    </row>
    <row r="66" spans="1:13" ht="21">
      <c r="A66" s="15" t="s">
        <v>62</v>
      </c>
      <c r="B66" s="12">
        <v>110000</v>
      </c>
      <c r="C66" s="12"/>
      <c r="D66" s="9"/>
      <c r="E66" s="9"/>
      <c r="F66" s="10"/>
      <c r="G66" s="9"/>
      <c r="H66" s="9"/>
      <c r="I66" s="9"/>
      <c r="J66" s="19"/>
      <c r="K66" s="12"/>
      <c r="L66" s="9"/>
      <c r="M66" s="19"/>
    </row>
    <row r="67" spans="1:13" ht="21">
      <c r="A67" s="15" t="s">
        <v>63</v>
      </c>
      <c r="B67" s="9">
        <v>590000</v>
      </c>
      <c r="C67" s="9"/>
      <c r="D67" s="9"/>
      <c r="E67" s="9"/>
      <c r="F67" s="10"/>
      <c r="G67" s="12"/>
      <c r="H67" s="9"/>
      <c r="I67" s="9"/>
      <c r="J67" s="19"/>
      <c r="K67" s="9"/>
      <c r="L67" s="9"/>
      <c r="M67" s="19"/>
    </row>
    <row r="68" spans="1:13" ht="21">
      <c r="A68" s="15" t="s">
        <v>64</v>
      </c>
      <c r="B68" s="9">
        <v>20000</v>
      </c>
      <c r="C68" s="9"/>
      <c r="D68" s="9"/>
      <c r="E68" s="9"/>
      <c r="F68" s="10"/>
      <c r="G68" s="12"/>
      <c r="H68" s="9"/>
      <c r="I68" s="9"/>
      <c r="J68" s="19"/>
      <c r="K68" s="12"/>
      <c r="L68" s="9"/>
      <c r="M68" s="19"/>
    </row>
    <row r="69" spans="1:13" ht="21">
      <c r="A69" s="15" t="s">
        <v>65</v>
      </c>
      <c r="B69" s="9">
        <v>17342000</v>
      </c>
      <c r="C69" s="9"/>
      <c r="D69" s="9"/>
      <c r="E69" s="9"/>
      <c r="F69" s="10"/>
      <c r="G69" s="12"/>
      <c r="H69" s="12"/>
      <c r="I69" s="9"/>
      <c r="J69" s="19"/>
      <c r="K69" s="9"/>
      <c r="L69" s="12"/>
      <c r="M69" s="19"/>
    </row>
    <row r="70" spans="1:13" ht="21">
      <c r="A70" s="15" t="s">
        <v>66</v>
      </c>
      <c r="B70" s="9">
        <v>30475620</v>
      </c>
      <c r="C70" s="9"/>
      <c r="D70" s="9"/>
      <c r="E70" s="9"/>
      <c r="F70" s="10"/>
      <c r="G70" s="12"/>
      <c r="H70" s="9"/>
      <c r="I70" s="9"/>
      <c r="J70" s="19"/>
      <c r="K70" s="9"/>
      <c r="L70" s="9"/>
      <c r="M70" s="19"/>
    </row>
    <row r="71" spans="1:13" ht="21.75" thickBot="1">
      <c r="A71" s="15" t="s">
        <v>67</v>
      </c>
      <c r="B71" s="9"/>
      <c r="C71" s="9"/>
      <c r="D71" s="5"/>
      <c r="E71" s="5"/>
      <c r="F71" s="10"/>
      <c r="G71" s="12"/>
      <c r="H71" s="12"/>
      <c r="I71" s="9"/>
      <c r="J71" s="19"/>
      <c r="K71" s="12"/>
      <c r="L71" s="12"/>
      <c r="M71" s="19"/>
    </row>
    <row r="72" spans="1:13" ht="21.75" thickBot="1">
      <c r="A72" s="31" t="s">
        <v>68</v>
      </c>
      <c r="B72" s="32">
        <f>SUM(B60:B71)</f>
        <v>52372620</v>
      </c>
      <c r="C72" s="32"/>
      <c r="D72" s="33"/>
      <c r="E72" s="33"/>
      <c r="F72" s="34"/>
      <c r="G72" s="35"/>
      <c r="H72" s="35"/>
      <c r="I72" s="35"/>
      <c r="J72" s="36"/>
      <c r="K72" s="35"/>
      <c r="L72" s="35"/>
      <c r="M72" s="35"/>
    </row>
    <row r="73" spans="1:13" ht="21.75" thickBot="1">
      <c r="A73" s="5" t="s">
        <v>69</v>
      </c>
      <c r="B73" s="9"/>
      <c r="C73" s="9"/>
      <c r="D73" s="33"/>
      <c r="E73" s="33"/>
      <c r="F73" s="34"/>
      <c r="G73" s="32"/>
      <c r="H73" s="32"/>
      <c r="I73" s="32"/>
      <c r="J73" s="36"/>
      <c r="K73" s="32"/>
      <c r="L73" s="32"/>
      <c r="M73" s="32"/>
    </row>
    <row r="74" spans="1:13" ht="21.75" thickBot="1">
      <c r="A74" s="39" t="s">
        <v>70</v>
      </c>
      <c r="B74" s="40"/>
      <c r="C74" s="41"/>
      <c r="D74" s="42"/>
      <c r="E74" s="42"/>
      <c r="F74" s="43"/>
      <c r="G74" s="42"/>
      <c r="H74" s="42"/>
      <c r="I74" s="42"/>
      <c r="J74" s="42"/>
      <c r="K74" s="42"/>
      <c r="L74" s="42"/>
      <c r="M74" s="42"/>
    </row>
  </sheetData>
  <sheetProtection/>
  <mergeCells count="52">
    <mergeCell ref="F59:F61"/>
    <mergeCell ref="G59:G61"/>
    <mergeCell ref="H59:H61"/>
    <mergeCell ref="I59:I61"/>
    <mergeCell ref="L59:L61"/>
    <mergeCell ref="M59:M61"/>
    <mergeCell ref="G42:G44"/>
    <mergeCell ref="H42:H44"/>
    <mergeCell ref="I42:I44"/>
    <mergeCell ref="L42:L44"/>
    <mergeCell ref="M42:M44"/>
    <mergeCell ref="A59:A61"/>
    <mergeCell ref="B59:B61"/>
    <mergeCell ref="C59:C61"/>
    <mergeCell ref="D59:D61"/>
    <mergeCell ref="E59:E61"/>
    <mergeCell ref="N21:N23"/>
    <mergeCell ref="A39:M39"/>
    <mergeCell ref="A40:M40"/>
    <mergeCell ref="A41:M41"/>
    <mergeCell ref="A42:A44"/>
    <mergeCell ref="B42:B44"/>
    <mergeCell ref="C42:C44"/>
    <mergeCell ref="D42:D44"/>
    <mergeCell ref="E42:E44"/>
    <mergeCell ref="F42:F44"/>
    <mergeCell ref="F21:F23"/>
    <mergeCell ref="G21:G23"/>
    <mergeCell ref="H21:H23"/>
    <mergeCell ref="I21:I23"/>
    <mergeCell ref="L21:L23"/>
    <mergeCell ref="M21:M23"/>
    <mergeCell ref="H4:H6"/>
    <mergeCell ref="I4:I6"/>
    <mergeCell ref="L4:L6"/>
    <mergeCell ref="M4:M6"/>
    <mergeCell ref="N4:N6"/>
    <mergeCell ref="A21:A23"/>
    <mergeCell ref="B21:B23"/>
    <mergeCell ref="C21:C23"/>
    <mergeCell ref="D21:D23"/>
    <mergeCell ref="E21:E23"/>
    <mergeCell ref="A1:M1"/>
    <mergeCell ref="A2:M2"/>
    <mergeCell ref="A3:M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" right="0" top="0.3937007874015748" bottom="0" header="0.15748031496062992" footer="0.5118110236220472"/>
  <pageSetup horizontalDpi="600" verticalDpi="600" orientation="landscape" paperSize="9" scale="70" r:id="rId1"/>
  <rowBreaks count="1" manualBreakCount="1">
    <brk id="3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3"/>
  <sheetViews>
    <sheetView zoomScale="80" zoomScaleNormal="80" zoomScalePageLayoutView="0" workbookViewId="0" topLeftCell="A1">
      <selection activeCell="A25" sqref="A25"/>
    </sheetView>
  </sheetViews>
  <sheetFormatPr defaultColWidth="9.140625" defaultRowHeight="15"/>
  <cols>
    <col min="1" max="1" width="48.00390625" style="456" customWidth="1"/>
    <col min="2" max="2" width="7.421875" style="456" customWidth="1"/>
    <col min="3" max="3" width="12.8515625" style="456" customWidth="1"/>
    <col min="4" max="4" width="13.00390625" style="456" customWidth="1"/>
    <col min="5" max="5" width="12.7109375" style="525" customWidth="1"/>
    <col min="6" max="6" width="13.7109375" style="456" bestFit="1" customWidth="1"/>
    <col min="7" max="16384" width="9.00390625" style="456" customWidth="1"/>
  </cols>
  <sheetData>
    <row r="1" spans="1:5" ht="26.25">
      <c r="A1" s="455" t="s">
        <v>734</v>
      </c>
      <c r="B1" s="455"/>
      <c r="C1" s="455"/>
      <c r="D1" s="455"/>
      <c r="E1" s="455"/>
    </row>
    <row r="2" spans="1:5" ht="26.25">
      <c r="A2" s="802" t="s">
        <v>273</v>
      </c>
      <c r="B2" s="802"/>
      <c r="C2" s="802"/>
      <c r="D2" s="802"/>
      <c r="E2" s="802"/>
    </row>
    <row r="3" spans="1:5" ht="26.25">
      <c r="A3" s="811" t="s">
        <v>735</v>
      </c>
      <c r="B3" s="811"/>
      <c r="C3" s="811"/>
      <c r="D3" s="811"/>
      <c r="E3" s="811"/>
    </row>
    <row r="4" spans="1:6" ht="24">
      <c r="A4" s="805" t="s">
        <v>32</v>
      </c>
      <c r="B4" s="805" t="s">
        <v>83</v>
      </c>
      <c r="C4" s="860" t="s">
        <v>33</v>
      </c>
      <c r="D4" s="805" t="s">
        <v>736</v>
      </c>
      <c r="E4" s="458" t="s">
        <v>737</v>
      </c>
      <c r="F4" s="459"/>
    </row>
    <row r="5" spans="1:6" ht="24">
      <c r="A5" s="806"/>
      <c r="B5" s="806"/>
      <c r="C5" s="861"/>
      <c r="D5" s="806"/>
      <c r="E5" s="460" t="s">
        <v>733</v>
      </c>
      <c r="F5" s="459"/>
    </row>
    <row r="6" spans="1:6" ht="24">
      <c r="A6" s="461" t="s">
        <v>278</v>
      </c>
      <c r="B6" s="462"/>
      <c r="C6" s="463"/>
      <c r="D6" s="464"/>
      <c r="E6" s="465"/>
      <c r="F6" s="466"/>
    </row>
    <row r="7" spans="1:6" ht="24">
      <c r="A7" s="467" t="s">
        <v>279</v>
      </c>
      <c r="B7" s="468">
        <v>411000</v>
      </c>
      <c r="C7" s="463"/>
      <c r="D7" s="464"/>
      <c r="E7" s="469"/>
      <c r="F7" s="466"/>
    </row>
    <row r="8" spans="1:6" ht="24">
      <c r="A8" s="464" t="s">
        <v>738</v>
      </c>
      <c r="B8" s="470">
        <v>411001</v>
      </c>
      <c r="C8" s="471">
        <v>80000</v>
      </c>
      <c r="D8" s="472">
        <v>23972</v>
      </c>
      <c r="E8" s="473">
        <f>1946+30270+21054+23972</f>
        <v>77242</v>
      </c>
      <c r="F8" s="466"/>
    </row>
    <row r="9" spans="1:6" ht="24">
      <c r="A9" s="464" t="s">
        <v>739</v>
      </c>
      <c r="B9" s="470">
        <v>411002</v>
      </c>
      <c r="C9" s="471">
        <v>200000</v>
      </c>
      <c r="D9" s="472">
        <v>86163.1</v>
      </c>
      <c r="E9" s="473">
        <f>406.35+20426.9+59869.95+86163.1</f>
        <v>166866.3</v>
      </c>
      <c r="F9" s="466"/>
    </row>
    <row r="10" spans="1:6" ht="24">
      <c r="A10" s="464" t="s">
        <v>740</v>
      </c>
      <c r="B10" s="470">
        <v>411003</v>
      </c>
      <c r="C10" s="471">
        <v>5000</v>
      </c>
      <c r="D10" s="472">
        <v>400</v>
      </c>
      <c r="E10" s="473">
        <f>2673+400</f>
        <v>3073</v>
      </c>
      <c r="F10" s="466"/>
    </row>
    <row r="11" spans="1:6" ht="24">
      <c r="A11" s="464" t="s">
        <v>741</v>
      </c>
      <c r="B11" s="470">
        <v>411004</v>
      </c>
      <c r="C11" s="471">
        <v>2000</v>
      </c>
      <c r="D11" s="472"/>
      <c r="E11" s="474">
        <f>520+320+100</f>
        <v>940</v>
      </c>
      <c r="F11" s="466"/>
    </row>
    <row r="12" spans="1:6" ht="24">
      <c r="A12" s="464" t="s">
        <v>742</v>
      </c>
      <c r="B12" s="470">
        <v>411005</v>
      </c>
      <c r="C12" s="471"/>
      <c r="D12" s="472"/>
      <c r="E12" s="474"/>
      <c r="F12" s="466"/>
    </row>
    <row r="13" spans="1:6" ht="24">
      <c r="A13" s="464" t="s">
        <v>743</v>
      </c>
      <c r="B13" s="470">
        <v>411006</v>
      </c>
      <c r="C13" s="463"/>
      <c r="D13" s="464"/>
      <c r="E13" s="469"/>
      <c r="F13" s="466"/>
    </row>
    <row r="14" spans="1:6" ht="24">
      <c r="A14" s="464" t="s">
        <v>744</v>
      </c>
      <c r="B14" s="470">
        <v>411007</v>
      </c>
      <c r="C14" s="463"/>
      <c r="D14" s="464"/>
      <c r="E14" s="469"/>
      <c r="F14" s="466"/>
    </row>
    <row r="15" spans="1:6" ht="24">
      <c r="A15" s="464" t="s">
        <v>745</v>
      </c>
      <c r="B15" s="470">
        <v>411008</v>
      </c>
      <c r="C15" s="463"/>
      <c r="D15" s="464"/>
      <c r="E15" s="469"/>
      <c r="F15" s="466"/>
    </row>
    <row r="16" spans="1:6" ht="24">
      <c r="A16" s="475" t="s">
        <v>34</v>
      </c>
      <c r="B16" s="470"/>
      <c r="C16" s="476">
        <f>SUM(C8:C15)</f>
        <v>287000</v>
      </c>
      <c r="D16" s="477">
        <f>SUM(D8:D15)</f>
        <v>110535.1</v>
      </c>
      <c r="E16" s="477">
        <f>SUM(E8:E15)</f>
        <v>248121.3</v>
      </c>
      <c r="F16" s="466"/>
    </row>
    <row r="17" spans="1:6" ht="24">
      <c r="A17" s="467" t="s">
        <v>746</v>
      </c>
      <c r="B17" s="468">
        <v>412000</v>
      </c>
      <c r="C17" s="463"/>
      <c r="D17" s="464"/>
      <c r="E17" s="469"/>
      <c r="F17" s="466"/>
    </row>
    <row r="18" spans="1:6" ht="24">
      <c r="A18" s="464" t="s">
        <v>747</v>
      </c>
      <c r="B18" s="468">
        <v>412101</v>
      </c>
      <c r="C18" s="478">
        <v>3000</v>
      </c>
      <c r="D18" s="479"/>
      <c r="E18" s="474">
        <f>720+360+180</f>
        <v>1260</v>
      </c>
      <c r="F18" s="466"/>
    </row>
    <row r="19" spans="1:6" ht="24">
      <c r="A19" s="464" t="s">
        <v>748</v>
      </c>
      <c r="B19" s="468">
        <v>412102</v>
      </c>
      <c r="C19" s="478"/>
      <c r="D19" s="479"/>
      <c r="E19" s="474"/>
      <c r="F19" s="466"/>
    </row>
    <row r="20" spans="1:6" ht="24">
      <c r="A20" s="464" t="s">
        <v>749</v>
      </c>
      <c r="B20" s="468">
        <v>412103</v>
      </c>
      <c r="C20" s="478">
        <v>2000</v>
      </c>
      <c r="D20" s="479">
        <v>155.2</v>
      </c>
      <c r="E20" s="473">
        <f>970+155.2</f>
        <v>1125.2</v>
      </c>
      <c r="F20" s="466"/>
    </row>
    <row r="21" spans="1:6" ht="24">
      <c r="A21" s="464" t="s">
        <v>750</v>
      </c>
      <c r="B21" s="468">
        <v>412104</v>
      </c>
      <c r="C21" s="478">
        <v>500</v>
      </c>
      <c r="D21" s="479"/>
      <c r="E21" s="473"/>
      <c r="F21" s="466"/>
    </row>
    <row r="22" spans="1:6" ht="24">
      <c r="A22" s="464" t="s">
        <v>751</v>
      </c>
      <c r="B22" s="468">
        <v>412105</v>
      </c>
      <c r="C22" s="478"/>
      <c r="D22" s="479"/>
      <c r="E22" s="473"/>
      <c r="F22" s="466"/>
    </row>
    <row r="23" spans="1:6" ht="24">
      <c r="A23" s="464" t="s">
        <v>752</v>
      </c>
      <c r="B23" s="468">
        <v>412106</v>
      </c>
      <c r="C23" s="478"/>
      <c r="D23" s="479"/>
      <c r="E23" s="473"/>
      <c r="F23" s="466"/>
    </row>
    <row r="24" spans="1:6" ht="24">
      <c r="A24" s="464" t="s">
        <v>753</v>
      </c>
      <c r="B24" s="468">
        <v>412107</v>
      </c>
      <c r="C24" s="478">
        <v>281000</v>
      </c>
      <c r="D24" s="479"/>
      <c r="E24" s="469">
        <f>8200+1960+3520</f>
        <v>13680</v>
      </c>
      <c r="F24" s="466"/>
    </row>
    <row r="25" spans="1:6" ht="24">
      <c r="A25" s="464" t="s">
        <v>754</v>
      </c>
      <c r="B25" s="468">
        <v>412108</v>
      </c>
      <c r="C25" s="478">
        <v>0</v>
      </c>
      <c r="D25" s="479"/>
      <c r="E25" s="473"/>
      <c r="F25" s="466"/>
    </row>
    <row r="26" spans="1:6" ht="24">
      <c r="A26" s="464" t="s">
        <v>755</v>
      </c>
      <c r="B26" s="468">
        <v>412109</v>
      </c>
      <c r="C26" s="478"/>
      <c r="D26" s="479"/>
      <c r="E26" s="469"/>
      <c r="F26" s="466"/>
    </row>
    <row r="27" spans="1:6" ht="24">
      <c r="A27" s="464" t="s">
        <v>756</v>
      </c>
      <c r="B27" s="468"/>
      <c r="C27" s="478"/>
      <c r="D27" s="479"/>
      <c r="E27" s="469"/>
      <c r="F27" s="466"/>
    </row>
    <row r="28" spans="1:6" ht="24">
      <c r="A28" s="464" t="s">
        <v>757</v>
      </c>
      <c r="B28" s="468">
        <v>412110</v>
      </c>
      <c r="C28" s="478"/>
      <c r="D28" s="479"/>
      <c r="E28" s="469"/>
      <c r="F28" s="466"/>
    </row>
    <row r="29" spans="1:6" ht="24">
      <c r="A29" s="464" t="s">
        <v>758</v>
      </c>
      <c r="B29" s="468">
        <v>412111</v>
      </c>
      <c r="C29" s="478"/>
      <c r="D29" s="479"/>
      <c r="E29" s="469"/>
      <c r="F29" s="466"/>
    </row>
    <row r="30" spans="1:6" ht="24">
      <c r="A30" s="464" t="s">
        <v>759</v>
      </c>
      <c r="B30" s="468"/>
      <c r="C30" s="478"/>
      <c r="D30" s="479"/>
      <c r="E30" s="469"/>
      <c r="F30" s="466"/>
    </row>
    <row r="31" spans="1:6" ht="24">
      <c r="A31" s="464" t="s">
        <v>760</v>
      </c>
      <c r="B31" s="468">
        <v>412112</v>
      </c>
      <c r="C31" s="478"/>
      <c r="D31" s="479"/>
      <c r="E31" s="469"/>
      <c r="F31" s="466"/>
    </row>
    <row r="32" spans="1:6" ht="24">
      <c r="A32" s="464" t="s">
        <v>761</v>
      </c>
      <c r="B32" s="468">
        <v>412113</v>
      </c>
      <c r="C32" s="478"/>
      <c r="D32" s="479"/>
      <c r="E32" s="469"/>
      <c r="F32" s="466"/>
    </row>
    <row r="33" spans="1:6" ht="24">
      <c r="A33" s="464" t="s">
        <v>762</v>
      </c>
      <c r="B33" s="468">
        <v>412114</v>
      </c>
      <c r="C33" s="478"/>
      <c r="D33" s="479"/>
      <c r="E33" s="469"/>
      <c r="F33" s="466"/>
    </row>
    <row r="34" spans="1:6" ht="24">
      <c r="A34" s="480" t="s">
        <v>763</v>
      </c>
      <c r="B34" s="481">
        <v>412115</v>
      </c>
      <c r="C34" s="482"/>
      <c r="D34" s="483"/>
      <c r="E34" s="484"/>
      <c r="F34" s="466"/>
    </row>
    <row r="35" spans="1:6" ht="24">
      <c r="A35" s="464" t="s">
        <v>764</v>
      </c>
      <c r="B35" s="468">
        <v>412116</v>
      </c>
      <c r="C35" s="478"/>
      <c r="D35" s="479"/>
      <c r="E35" s="469"/>
      <c r="F35" s="466"/>
    </row>
    <row r="36" spans="1:6" ht="24">
      <c r="A36" s="464" t="s">
        <v>765</v>
      </c>
      <c r="B36" s="468">
        <v>412117</v>
      </c>
      <c r="C36" s="478"/>
      <c r="D36" s="479"/>
      <c r="E36" s="469"/>
      <c r="F36" s="466"/>
    </row>
    <row r="37" spans="1:6" ht="24">
      <c r="A37" s="464" t="s">
        <v>766</v>
      </c>
      <c r="B37" s="468">
        <v>412118</v>
      </c>
      <c r="C37" s="478"/>
      <c r="D37" s="479"/>
      <c r="E37" s="469"/>
      <c r="F37" s="466"/>
    </row>
    <row r="38" spans="1:6" ht="24">
      <c r="A38" s="464" t="s">
        <v>767</v>
      </c>
      <c r="B38" s="468"/>
      <c r="C38" s="478"/>
      <c r="D38" s="479"/>
      <c r="E38" s="469"/>
      <c r="F38" s="466"/>
    </row>
    <row r="39" spans="1:6" ht="24">
      <c r="A39" s="464" t="s">
        <v>768</v>
      </c>
      <c r="B39" s="468">
        <v>412119</v>
      </c>
      <c r="C39" s="478"/>
      <c r="D39" s="479"/>
      <c r="E39" s="469"/>
      <c r="F39" s="466"/>
    </row>
    <row r="40" spans="1:6" ht="24">
      <c r="A40" s="464" t="s">
        <v>769</v>
      </c>
      <c r="B40" s="468">
        <v>412120</v>
      </c>
      <c r="C40" s="478"/>
      <c r="D40" s="479"/>
      <c r="E40" s="469"/>
      <c r="F40" s="466"/>
    </row>
    <row r="41" spans="1:6" ht="24">
      <c r="A41" s="464" t="s">
        <v>770</v>
      </c>
      <c r="B41" s="468">
        <v>412121</v>
      </c>
      <c r="C41" s="478"/>
      <c r="D41" s="479"/>
      <c r="E41" s="469"/>
      <c r="F41" s="466"/>
    </row>
    <row r="42" spans="1:6" ht="24">
      <c r="A42" s="464" t="s">
        <v>771</v>
      </c>
      <c r="B42" s="468">
        <v>412122</v>
      </c>
      <c r="C42" s="478"/>
      <c r="D42" s="479"/>
      <c r="E42" s="469"/>
      <c r="F42" s="466"/>
    </row>
    <row r="43" spans="1:6" ht="24">
      <c r="A43" s="464" t="s">
        <v>772</v>
      </c>
      <c r="B43" s="468">
        <v>412123</v>
      </c>
      <c r="C43" s="478"/>
      <c r="D43" s="479"/>
      <c r="E43" s="469"/>
      <c r="F43" s="466"/>
    </row>
    <row r="44" spans="1:6" ht="24">
      <c r="A44" s="464" t="s">
        <v>773</v>
      </c>
      <c r="B44" s="468">
        <v>412124</v>
      </c>
      <c r="C44" s="478"/>
      <c r="D44" s="479"/>
      <c r="E44" s="469"/>
      <c r="F44" s="466"/>
    </row>
    <row r="45" spans="1:6" ht="24">
      <c r="A45" s="464" t="s">
        <v>774</v>
      </c>
      <c r="B45" s="468">
        <v>412125</v>
      </c>
      <c r="C45" s="478"/>
      <c r="D45" s="479"/>
      <c r="E45" s="469"/>
      <c r="F45" s="466"/>
    </row>
    <row r="46" spans="1:6" ht="24">
      <c r="A46" s="464" t="s">
        <v>775</v>
      </c>
      <c r="B46" s="468"/>
      <c r="C46" s="478"/>
      <c r="D46" s="479"/>
      <c r="E46" s="469"/>
      <c r="F46" s="466"/>
    </row>
    <row r="47" spans="1:6" ht="24">
      <c r="A47" s="464" t="s">
        <v>776</v>
      </c>
      <c r="B47" s="468">
        <v>412126</v>
      </c>
      <c r="C47" s="478"/>
      <c r="D47" s="479"/>
      <c r="E47" s="469"/>
      <c r="F47" s="466"/>
    </row>
    <row r="48" spans="1:6" ht="24">
      <c r="A48" s="464" t="s">
        <v>777</v>
      </c>
      <c r="B48" s="468">
        <v>412127</v>
      </c>
      <c r="C48" s="478"/>
      <c r="D48" s="479"/>
      <c r="E48" s="469"/>
      <c r="F48" s="466"/>
    </row>
    <row r="49" spans="1:6" ht="24">
      <c r="A49" s="464" t="s">
        <v>778</v>
      </c>
      <c r="B49" s="468">
        <v>412128</v>
      </c>
      <c r="C49" s="478">
        <v>1000</v>
      </c>
      <c r="D49" s="479"/>
      <c r="E49" s="469">
        <v>70</v>
      </c>
      <c r="F49" s="466"/>
    </row>
    <row r="50" spans="1:6" ht="24">
      <c r="A50" s="464" t="s">
        <v>779</v>
      </c>
      <c r="B50" s="468">
        <v>412199</v>
      </c>
      <c r="C50" s="478"/>
      <c r="D50" s="479"/>
      <c r="E50" s="469"/>
      <c r="F50" s="466"/>
    </row>
    <row r="51" spans="1:6" ht="24">
      <c r="A51" s="464" t="s">
        <v>780</v>
      </c>
      <c r="B51" s="468">
        <v>412201</v>
      </c>
      <c r="C51" s="478"/>
      <c r="D51" s="479"/>
      <c r="E51" s="469"/>
      <c r="F51" s="466"/>
    </row>
    <row r="52" spans="1:6" ht="24">
      <c r="A52" s="464" t="s">
        <v>781</v>
      </c>
      <c r="B52" s="468">
        <v>412202</v>
      </c>
      <c r="C52" s="478">
        <v>3000</v>
      </c>
      <c r="D52" s="479">
        <v>400</v>
      </c>
      <c r="E52" s="485">
        <f>2200+400+400</f>
        <v>3000</v>
      </c>
      <c r="F52" s="466"/>
    </row>
    <row r="53" spans="1:6" ht="24">
      <c r="A53" s="464" t="s">
        <v>782</v>
      </c>
      <c r="B53" s="468">
        <v>412203</v>
      </c>
      <c r="C53" s="478"/>
      <c r="D53" s="479"/>
      <c r="E53" s="469"/>
      <c r="F53" s="466"/>
    </row>
    <row r="54" spans="1:6" ht="24">
      <c r="A54" s="464" t="s">
        <v>783</v>
      </c>
      <c r="B54" s="468">
        <v>412204</v>
      </c>
      <c r="C54" s="478"/>
      <c r="D54" s="479"/>
      <c r="E54" s="469"/>
      <c r="F54" s="466"/>
    </row>
    <row r="55" spans="1:6" ht="24">
      <c r="A55" s="464" t="s">
        <v>784</v>
      </c>
      <c r="B55" s="468"/>
      <c r="C55" s="478"/>
      <c r="D55" s="479"/>
      <c r="E55" s="469"/>
      <c r="F55" s="466"/>
    </row>
    <row r="56" spans="1:6" ht="24">
      <c r="A56" s="464" t="s">
        <v>785</v>
      </c>
      <c r="B56" s="468">
        <v>412205</v>
      </c>
      <c r="C56" s="478"/>
      <c r="D56" s="479"/>
      <c r="E56" s="469"/>
      <c r="F56" s="466"/>
    </row>
    <row r="57" spans="1:6" ht="24">
      <c r="A57" s="464" t="s">
        <v>786</v>
      </c>
      <c r="B57" s="468">
        <v>412206</v>
      </c>
      <c r="C57" s="478"/>
      <c r="D57" s="479"/>
      <c r="E57" s="469"/>
      <c r="F57" s="466"/>
    </row>
    <row r="58" spans="1:6" ht="24">
      <c r="A58" s="464" t="s">
        <v>787</v>
      </c>
      <c r="B58" s="468">
        <v>412207</v>
      </c>
      <c r="C58" s="478"/>
      <c r="D58" s="479"/>
      <c r="E58" s="469"/>
      <c r="F58" s="466"/>
    </row>
    <row r="59" spans="1:6" ht="24">
      <c r="A59" s="464" t="s">
        <v>788</v>
      </c>
      <c r="B59" s="468">
        <v>412208</v>
      </c>
      <c r="C59" s="478"/>
      <c r="D59" s="479"/>
      <c r="E59" s="469"/>
      <c r="F59" s="466"/>
    </row>
    <row r="60" spans="1:6" ht="24">
      <c r="A60" s="464" t="s">
        <v>789</v>
      </c>
      <c r="B60" s="468">
        <v>412209</v>
      </c>
      <c r="C60" s="478"/>
      <c r="D60" s="479"/>
      <c r="E60" s="469"/>
      <c r="F60" s="466"/>
    </row>
    <row r="61" spans="1:6" ht="24">
      <c r="A61" s="464" t="s">
        <v>790</v>
      </c>
      <c r="B61" s="468">
        <v>412210</v>
      </c>
      <c r="C61" s="478">
        <v>50000</v>
      </c>
      <c r="D61" s="479">
        <v>1100</v>
      </c>
      <c r="E61" s="474">
        <f>138420+3600+1200+1100</f>
        <v>144320</v>
      </c>
      <c r="F61" s="466"/>
    </row>
    <row r="62" spans="1:6" ht="24">
      <c r="A62" s="464" t="s">
        <v>791</v>
      </c>
      <c r="B62" s="468">
        <v>412211</v>
      </c>
      <c r="C62" s="478">
        <v>500</v>
      </c>
      <c r="D62" s="479"/>
      <c r="E62" s="474"/>
      <c r="F62" s="466"/>
    </row>
    <row r="63" spans="1:6" ht="24">
      <c r="A63" s="464" t="s">
        <v>792</v>
      </c>
      <c r="B63" s="468">
        <v>412299</v>
      </c>
      <c r="C63" s="478"/>
      <c r="D63" s="479"/>
      <c r="E63" s="469"/>
      <c r="F63" s="466"/>
    </row>
    <row r="64" spans="1:6" ht="24">
      <c r="A64" s="464" t="s">
        <v>793</v>
      </c>
      <c r="B64" s="468">
        <v>412301</v>
      </c>
      <c r="C64" s="478">
        <v>6000</v>
      </c>
      <c r="D64" s="479">
        <v>0</v>
      </c>
      <c r="E64" s="469">
        <v>2000</v>
      </c>
      <c r="F64" s="466"/>
    </row>
    <row r="65" spans="1:6" ht="24">
      <c r="A65" s="464" t="s">
        <v>794</v>
      </c>
      <c r="B65" s="468">
        <v>412302</v>
      </c>
      <c r="C65" s="478"/>
      <c r="D65" s="479"/>
      <c r="E65" s="469"/>
      <c r="F65" s="466"/>
    </row>
    <row r="66" spans="1:6" ht="24">
      <c r="A66" s="480" t="s">
        <v>795</v>
      </c>
      <c r="B66" s="481">
        <v>412303</v>
      </c>
      <c r="C66" s="482">
        <v>4000</v>
      </c>
      <c r="D66" s="483"/>
      <c r="E66" s="484"/>
      <c r="F66" s="466"/>
    </row>
    <row r="67" spans="1:6" ht="24">
      <c r="A67" s="464" t="s">
        <v>796</v>
      </c>
      <c r="B67" s="468">
        <v>412304</v>
      </c>
      <c r="C67" s="478"/>
      <c r="D67" s="479"/>
      <c r="E67" s="469"/>
      <c r="F67" s="466"/>
    </row>
    <row r="68" spans="1:6" ht="24">
      <c r="A68" s="464" t="s">
        <v>797</v>
      </c>
      <c r="B68" s="468"/>
      <c r="C68" s="478"/>
      <c r="D68" s="479"/>
      <c r="E68" s="469"/>
      <c r="F68" s="466"/>
    </row>
    <row r="69" spans="1:6" ht="24">
      <c r="A69" s="464" t="s">
        <v>798</v>
      </c>
      <c r="B69" s="468">
        <v>412305</v>
      </c>
      <c r="C69" s="478">
        <v>2000</v>
      </c>
      <c r="D69" s="479"/>
      <c r="E69" s="469"/>
      <c r="F69" s="466"/>
    </row>
    <row r="70" spans="1:6" ht="24">
      <c r="A70" s="464" t="s">
        <v>799</v>
      </c>
      <c r="B70" s="468">
        <v>412306</v>
      </c>
      <c r="C70" s="478"/>
      <c r="D70" s="479"/>
      <c r="E70" s="469"/>
      <c r="F70" s="466"/>
    </row>
    <row r="71" spans="1:6" ht="24">
      <c r="A71" s="464" t="s">
        <v>800</v>
      </c>
      <c r="B71" s="468">
        <v>412307</v>
      </c>
      <c r="C71" s="478"/>
      <c r="D71" s="479"/>
      <c r="E71" s="469"/>
      <c r="F71" s="466"/>
    </row>
    <row r="72" spans="1:6" ht="24">
      <c r="A72" s="464" t="s">
        <v>801</v>
      </c>
      <c r="B72" s="468">
        <v>412308</v>
      </c>
      <c r="C72" s="478"/>
      <c r="D72" s="479"/>
      <c r="E72" s="469"/>
      <c r="F72" s="466"/>
    </row>
    <row r="73" spans="1:6" ht="24">
      <c r="A73" s="464" t="s">
        <v>802</v>
      </c>
      <c r="B73" s="468">
        <v>412399</v>
      </c>
      <c r="C73" s="486"/>
      <c r="D73" s="487"/>
      <c r="E73" s="469"/>
      <c r="F73" s="466"/>
    </row>
    <row r="74" spans="1:6" ht="24">
      <c r="A74" s="475" t="s">
        <v>34</v>
      </c>
      <c r="B74" s="468"/>
      <c r="C74" s="476">
        <f>SUM(C18:C73)</f>
        <v>353000</v>
      </c>
      <c r="D74" s="476">
        <f>SUM(D18:D73)</f>
        <v>1655.2</v>
      </c>
      <c r="E74" s="477">
        <f>SUM(E18:E73)</f>
        <v>165455.2</v>
      </c>
      <c r="F74" s="466"/>
    </row>
    <row r="75" spans="1:6" ht="24">
      <c r="A75" s="467" t="s">
        <v>401</v>
      </c>
      <c r="B75" s="468">
        <v>413000</v>
      </c>
      <c r="C75" s="463"/>
      <c r="D75" s="464"/>
      <c r="E75" s="469"/>
      <c r="F75" s="466"/>
    </row>
    <row r="76" spans="1:6" ht="24">
      <c r="A76" s="464" t="s">
        <v>803</v>
      </c>
      <c r="B76" s="468">
        <v>413001</v>
      </c>
      <c r="C76" s="463"/>
      <c r="D76" s="464"/>
      <c r="E76" s="469"/>
      <c r="F76" s="466"/>
    </row>
    <row r="77" spans="1:6" ht="24">
      <c r="A77" s="464" t="s">
        <v>804</v>
      </c>
      <c r="B77" s="468">
        <v>413002</v>
      </c>
      <c r="C77" s="471">
        <v>200000</v>
      </c>
      <c r="D77" s="472">
        <v>29050</v>
      </c>
      <c r="E77" s="474">
        <f>76100+13000+17900+29050</f>
        <v>136050</v>
      </c>
      <c r="F77" s="466"/>
    </row>
    <row r="78" spans="1:6" ht="24">
      <c r="A78" s="464" t="s">
        <v>805</v>
      </c>
      <c r="B78" s="468">
        <v>413003</v>
      </c>
      <c r="C78" s="471">
        <v>100000</v>
      </c>
      <c r="D78" s="472">
        <v>90624.92</v>
      </c>
      <c r="E78" s="473">
        <f>936.12+90624.92</f>
        <v>91561.04</v>
      </c>
      <c r="F78" s="466"/>
    </row>
    <row r="79" spans="1:6" ht="24">
      <c r="A79" s="464" t="s">
        <v>806</v>
      </c>
      <c r="B79" s="468">
        <v>413004</v>
      </c>
      <c r="C79" s="463"/>
      <c r="D79" s="464"/>
      <c r="E79" s="469"/>
      <c r="F79" s="466"/>
    </row>
    <row r="80" spans="1:6" ht="24">
      <c r="A80" s="464" t="s">
        <v>807</v>
      </c>
      <c r="B80" s="468">
        <v>413005</v>
      </c>
      <c r="C80" s="463"/>
      <c r="D80" s="464"/>
      <c r="E80" s="469"/>
      <c r="F80" s="466"/>
    </row>
    <row r="81" spans="1:6" ht="24">
      <c r="A81" s="464" t="s">
        <v>808</v>
      </c>
      <c r="B81" s="468">
        <v>413999</v>
      </c>
      <c r="C81" s="463"/>
      <c r="D81" s="464"/>
      <c r="E81" s="469"/>
      <c r="F81" s="466"/>
    </row>
    <row r="82" spans="1:6" ht="24">
      <c r="A82" s="475" t="s">
        <v>34</v>
      </c>
      <c r="B82" s="468"/>
      <c r="C82" s="488">
        <f>SUM(C76:C81)</f>
        <v>300000</v>
      </c>
      <c r="D82" s="489">
        <f>SUM(D77:D81)</f>
        <v>119674.92</v>
      </c>
      <c r="E82" s="490">
        <f>SUM(E76:E81)</f>
        <v>227611.03999999998</v>
      </c>
      <c r="F82" s="466"/>
    </row>
    <row r="83" spans="1:6" ht="24">
      <c r="A83" s="467" t="s">
        <v>423</v>
      </c>
      <c r="B83" s="468">
        <v>414000</v>
      </c>
      <c r="C83" s="463"/>
      <c r="D83" s="464"/>
      <c r="E83" s="469"/>
      <c r="F83" s="466"/>
    </row>
    <row r="84" spans="1:6" ht="24">
      <c r="A84" s="464" t="s">
        <v>809</v>
      </c>
      <c r="B84" s="468">
        <v>414001</v>
      </c>
      <c r="C84" s="463"/>
      <c r="D84" s="464"/>
      <c r="E84" s="469"/>
      <c r="F84" s="466"/>
    </row>
    <row r="85" spans="1:6" ht="24">
      <c r="A85" s="464" t="s">
        <v>810</v>
      </c>
      <c r="B85" s="468">
        <v>414002</v>
      </c>
      <c r="C85" s="463"/>
      <c r="D85" s="464"/>
      <c r="E85" s="469"/>
      <c r="F85" s="466"/>
    </row>
    <row r="86" spans="1:6" ht="24">
      <c r="A86" s="464" t="s">
        <v>811</v>
      </c>
      <c r="B86" s="468">
        <v>414003</v>
      </c>
      <c r="C86" s="463"/>
      <c r="D86" s="464"/>
      <c r="E86" s="469"/>
      <c r="F86" s="466"/>
    </row>
    <row r="87" spans="1:6" ht="24">
      <c r="A87" s="464" t="s">
        <v>812</v>
      </c>
      <c r="B87" s="468">
        <v>414004</v>
      </c>
      <c r="C87" s="463"/>
      <c r="D87" s="464"/>
      <c r="E87" s="469"/>
      <c r="F87" s="466"/>
    </row>
    <row r="88" spans="1:6" ht="24">
      <c r="A88" s="464" t="s">
        <v>813</v>
      </c>
      <c r="B88" s="468">
        <v>414005</v>
      </c>
      <c r="C88" s="463"/>
      <c r="D88" s="464"/>
      <c r="E88" s="469"/>
      <c r="F88" s="466"/>
    </row>
    <row r="89" spans="1:6" ht="24">
      <c r="A89" s="464" t="s">
        <v>814</v>
      </c>
      <c r="B89" s="468">
        <v>414006</v>
      </c>
      <c r="C89" s="478"/>
      <c r="D89" s="479"/>
      <c r="E89" s="469"/>
      <c r="F89" s="466"/>
    </row>
    <row r="90" spans="1:6" ht="24">
      <c r="A90" s="464" t="s">
        <v>815</v>
      </c>
      <c r="B90" s="491">
        <v>414999</v>
      </c>
      <c r="C90" s="463"/>
      <c r="D90" s="464"/>
      <c r="E90" s="469"/>
      <c r="F90" s="466"/>
    </row>
    <row r="91" spans="1:6" ht="24">
      <c r="A91" s="475" t="s">
        <v>34</v>
      </c>
      <c r="B91" s="492"/>
      <c r="C91" s="493" t="s">
        <v>816</v>
      </c>
      <c r="D91" s="494"/>
      <c r="E91" s="494" t="s">
        <v>816</v>
      </c>
      <c r="F91" s="466"/>
    </row>
    <row r="92" spans="1:6" ht="24">
      <c r="A92" s="467" t="s">
        <v>431</v>
      </c>
      <c r="B92" s="468">
        <v>415000</v>
      </c>
      <c r="C92" s="463"/>
      <c r="D92" s="464"/>
      <c r="E92" s="469"/>
      <c r="F92" s="466"/>
    </row>
    <row r="93" spans="1:6" ht="24">
      <c r="A93" s="464" t="s">
        <v>817</v>
      </c>
      <c r="B93" s="468">
        <v>415001</v>
      </c>
      <c r="C93" s="463"/>
      <c r="D93" s="464"/>
      <c r="E93" s="469"/>
      <c r="F93" s="466"/>
    </row>
    <row r="94" spans="1:6" ht="24">
      <c r="A94" s="464" t="s">
        <v>818</v>
      </c>
      <c r="B94" s="468">
        <v>415002</v>
      </c>
      <c r="C94" s="463"/>
      <c r="D94" s="464"/>
      <c r="E94" s="469"/>
      <c r="F94" s="466"/>
    </row>
    <row r="95" spans="1:6" ht="24">
      <c r="A95" s="464" t="s">
        <v>819</v>
      </c>
      <c r="B95" s="468">
        <v>415003</v>
      </c>
      <c r="C95" s="463"/>
      <c r="D95" s="464"/>
      <c r="E95" s="473"/>
      <c r="F95" s="466"/>
    </row>
    <row r="96" spans="1:6" ht="24">
      <c r="A96" s="464" t="s">
        <v>820</v>
      </c>
      <c r="B96" s="468">
        <v>415004</v>
      </c>
      <c r="C96" s="471">
        <v>200000</v>
      </c>
      <c r="D96" s="472">
        <v>12000</v>
      </c>
      <c r="E96" s="473">
        <f>71100+36100+98500+12000</f>
        <v>217700</v>
      </c>
      <c r="F96" s="466"/>
    </row>
    <row r="97" spans="1:6" ht="24">
      <c r="A97" s="464" t="s">
        <v>821</v>
      </c>
      <c r="B97" s="468">
        <v>415005</v>
      </c>
      <c r="C97" s="463"/>
      <c r="D97" s="464"/>
      <c r="E97" s="469"/>
      <c r="F97" s="466"/>
    </row>
    <row r="98" spans="1:6" ht="24">
      <c r="A98" s="480" t="s">
        <v>822</v>
      </c>
      <c r="B98" s="481">
        <v>415006</v>
      </c>
      <c r="C98" s="495"/>
      <c r="D98" s="480"/>
      <c r="E98" s="484"/>
      <c r="F98" s="466"/>
    </row>
    <row r="99" spans="1:6" ht="24">
      <c r="A99" s="464" t="s">
        <v>823</v>
      </c>
      <c r="B99" s="468">
        <v>415007</v>
      </c>
      <c r="C99" s="463"/>
      <c r="D99" s="464"/>
      <c r="E99" s="469"/>
      <c r="F99" s="466"/>
    </row>
    <row r="100" spans="1:6" ht="24">
      <c r="A100" s="464" t="s">
        <v>824</v>
      </c>
      <c r="B100" s="468">
        <v>415008</v>
      </c>
      <c r="C100" s="463"/>
      <c r="D100" s="464"/>
      <c r="E100" s="469"/>
      <c r="F100" s="466"/>
    </row>
    <row r="101" spans="1:6" ht="24">
      <c r="A101" s="464" t="s">
        <v>825</v>
      </c>
      <c r="B101" s="468">
        <v>415999</v>
      </c>
      <c r="C101" s="478">
        <v>30000</v>
      </c>
      <c r="D101" s="479">
        <v>3020</v>
      </c>
      <c r="E101" s="473">
        <f>2630+16600+3020</f>
        <v>22250</v>
      </c>
      <c r="F101" s="466"/>
    </row>
    <row r="102" spans="1:6" ht="24">
      <c r="A102" s="475" t="s">
        <v>34</v>
      </c>
      <c r="B102" s="491"/>
      <c r="C102" s="488">
        <f>SUM(C93:C101)</f>
        <v>230000</v>
      </c>
      <c r="D102" s="489">
        <f>SUM(D93:D101)</f>
        <v>15020</v>
      </c>
      <c r="E102" s="490">
        <f>SUM(E93:E101)</f>
        <v>239950</v>
      </c>
      <c r="F102" s="466"/>
    </row>
    <row r="103" spans="1:6" ht="24">
      <c r="A103" s="467" t="s">
        <v>447</v>
      </c>
      <c r="B103" s="468">
        <v>416000</v>
      </c>
      <c r="C103" s="463"/>
      <c r="D103" s="464"/>
      <c r="E103" s="469"/>
      <c r="F103" s="466"/>
    </row>
    <row r="104" spans="1:6" ht="24">
      <c r="A104" s="464" t="s">
        <v>826</v>
      </c>
      <c r="B104" s="468">
        <v>416001</v>
      </c>
      <c r="C104" s="478">
        <v>10000</v>
      </c>
      <c r="D104" s="479"/>
      <c r="E104" s="469">
        <v>7000</v>
      </c>
      <c r="F104" s="466"/>
    </row>
    <row r="105" spans="1:6" ht="24">
      <c r="A105" s="464" t="s">
        <v>827</v>
      </c>
      <c r="B105" s="468">
        <v>416999</v>
      </c>
      <c r="C105" s="496"/>
      <c r="D105" s="497"/>
      <c r="E105" s="469"/>
      <c r="F105" s="466"/>
    </row>
    <row r="106" spans="1:6" ht="24">
      <c r="A106" s="475" t="s">
        <v>34</v>
      </c>
      <c r="B106" s="491"/>
      <c r="C106" s="498">
        <v>10000</v>
      </c>
      <c r="D106" s="499">
        <f>SUM(D104:D105)</f>
        <v>0</v>
      </c>
      <c r="E106" s="499">
        <f>SUM(E104:E105)</f>
        <v>7000</v>
      </c>
      <c r="F106" s="466"/>
    </row>
    <row r="107" spans="1:6" ht="24">
      <c r="A107" s="467" t="s">
        <v>828</v>
      </c>
      <c r="B107" s="492"/>
      <c r="C107" s="496"/>
      <c r="D107" s="497"/>
      <c r="E107" s="469"/>
      <c r="F107" s="466"/>
    </row>
    <row r="108" spans="1:6" ht="24">
      <c r="A108" s="467" t="s">
        <v>452</v>
      </c>
      <c r="B108" s="468">
        <v>421000</v>
      </c>
      <c r="C108" s="463"/>
      <c r="D108" s="464"/>
      <c r="E108" s="469"/>
      <c r="F108" s="466"/>
    </row>
    <row r="109" spans="1:6" ht="24">
      <c r="A109" s="464" t="s">
        <v>829</v>
      </c>
      <c r="B109" s="468">
        <v>421001</v>
      </c>
      <c r="C109" s="478"/>
      <c r="D109" s="479"/>
      <c r="E109" s="473">
        <v>252171.36</v>
      </c>
      <c r="F109" s="466"/>
    </row>
    <row r="110" spans="1:6" ht="24">
      <c r="A110" s="464" t="s">
        <v>830</v>
      </c>
      <c r="B110" s="468">
        <v>421002</v>
      </c>
      <c r="C110" s="471">
        <v>8500000</v>
      </c>
      <c r="D110" s="472">
        <v>1274375.11</v>
      </c>
      <c r="E110" s="473">
        <f>2107623.74+1459643.78+1274375.11</f>
        <v>4841642.630000001</v>
      </c>
      <c r="F110" s="500"/>
    </row>
    <row r="111" spans="1:6" ht="24">
      <c r="A111" s="464" t="s">
        <v>831</v>
      </c>
      <c r="B111" s="468">
        <v>421003</v>
      </c>
      <c r="C111" s="463"/>
      <c r="D111" s="464"/>
      <c r="E111" s="473"/>
      <c r="F111" s="501"/>
    </row>
    <row r="112" spans="1:6" ht="24">
      <c r="A112" s="464" t="s">
        <v>832</v>
      </c>
      <c r="B112" s="468"/>
      <c r="C112" s="478"/>
      <c r="D112" s="464"/>
      <c r="E112" s="473"/>
      <c r="F112" s="466"/>
    </row>
    <row r="113" spans="1:6" ht="24">
      <c r="A113" s="464" t="s">
        <v>833</v>
      </c>
      <c r="B113" s="468">
        <v>421004</v>
      </c>
      <c r="C113" s="478">
        <v>4000000</v>
      </c>
      <c r="D113" s="479"/>
      <c r="E113" s="473">
        <f>911368.99+835092.68</f>
        <v>1746461.67</v>
      </c>
      <c r="F113" s="466"/>
    </row>
    <row r="114" spans="1:6" ht="24">
      <c r="A114" s="464" t="s">
        <v>834</v>
      </c>
      <c r="B114" s="468">
        <v>421005</v>
      </c>
      <c r="C114" s="471">
        <v>20000</v>
      </c>
      <c r="D114" s="472">
        <v>19488.79</v>
      </c>
      <c r="E114" s="473">
        <f>4376.02+19488.79</f>
        <v>23864.81</v>
      </c>
      <c r="F114" s="466"/>
    </row>
    <row r="115" spans="1:6" ht="24">
      <c r="A115" s="464" t="s">
        <v>835</v>
      </c>
      <c r="B115" s="468">
        <v>421006</v>
      </c>
      <c r="C115" s="471">
        <v>2000000</v>
      </c>
      <c r="D115" s="472">
        <v>243216.47</v>
      </c>
      <c r="E115" s="473">
        <f>147091.15+309184.61+589402.63+243216.47</f>
        <v>1288894.86</v>
      </c>
      <c r="F115" s="466"/>
    </row>
    <row r="116" spans="1:6" ht="24">
      <c r="A116" s="464" t="s">
        <v>836</v>
      </c>
      <c r="B116" s="468">
        <v>421007</v>
      </c>
      <c r="C116" s="471">
        <v>4500000</v>
      </c>
      <c r="D116" s="472">
        <v>347625.43</v>
      </c>
      <c r="E116" s="473">
        <f>330016.76+232.8+336805.28+690338.82+347625.43</f>
        <v>1705019.09</v>
      </c>
      <c r="F116" s="466"/>
    </row>
    <row r="117" spans="1:6" ht="24">
      <c r="A117" s="464" t="s">
        <v>837</v>
      </c>
      <c r="B117" s="468">
        <v>421008</v>
      </c>
      <c r="C117" s="478"/>
      <c r="D117" s="479"/>
      <c r="E117" s="473"/>
      <c r="F117" s="466"/>
    </row>
    <row r="118" spans="1:6" ht="24">
      <c r="A118" s="464" t="s">
        <v>838</v>
      </c>
      <c r="B118" s="468">
        <v>421009</v>
      </c>
      <c r="C118" s="463"/>
      <c r="D118" s="464"/>
      <c r="E118" s="473"/>
      <c r="F118" s="466"/>
    </row>
    <row r="119" spans="1:6" ht="24">
      <c r="A119" s="464" t="s">
        <v>839</v>
      </c>
      <c r="B119" s="468">
        <v>421010</v>
      </c>
      <c r="C119" s="463"/>
      <c r="D119" s="464"/>
      <c r="E119" s="473"/>
      <c r="F119" s="466"/>
    </row>
    <row r="120" spans="1:6" ht="24">
      <c r="A120" s="464" t="s">
        <v>840</v>
      </c>
      <c r="B120" s="468">
        <v>421011</v>
      </c>
      <c r="C120" s="463"/>
      <c r="D120" s="464"/>
      <c r="E120" s="473"/>
      <c r="F120" s="466"/>
    </row>
    <row r="121" spans="1:6" ht="24">
      <c r="A121" s="464" t="s">
        <v>841</v>
      </c>
      <c r="B121" s="468">
        <v>421012</v>
      </c>
      <c r="C121" s="471">
        <v>100000</v>
      </c>
      <c r="D121" s="472"/>
      <c r="E121" s="473">
        <f>20642.28+46140.65</f>
        <v>66782.93</v>
      </c>
      <c r="F121" s="466"/>
    </row>
    <row r="122" spans="1:6" ht="24">
      <c r="A122" s="464" t="s">
        <v>842</v>
      </c>
      <c r="B122" s="468">
        <v>421013</v>
      </c>
      <c r="C122" s="502">
        <v>200000</v>
      </c>
      <c r="D122" s="503"/>
      <c r="E122" s="485">
        <v>54711.73</v>
      </c>
      <c r="F122" s="466"/>
    </row>
    <row r="123" spans="1:6" ht="24">
      <c r="A123" s="464" t="s">
        <v>843</v>
      </c>
      <c r="B123" s="468">
        <v>421014</v>
      </c>
      <c r="C123" s="463"/>
      <c r="D123" s="464"/>
      <c r="E123" s="469"/>
      <c r="F123" s="466"/>
    </row>
    <row r="124" spans="1:6" ht="24">
      <c r="A124" s="464" t="s">
        <v>844</v>
      </c>
      <c r="B124" s="468">
        <v>421015</v>
      </c>
      <c r="C124" s="471">
        <v>500000</v>
      </c>
      <c r="D124" s="472"/>
      <c r="E124" s="469">
        <v>288251</v>
      </c>
      <c r="F124" s="466"/>
    </row>
    <row r="125" spans="1:6" ht="24">
      <c r="A125" s="464" t="s">
        <v>845</v>
      </c>
      <c r="B125" s="468">
        <v>421016</v>
      </c>
      <c r="C125" s="463"/>
      <c r="D125" s="464"/>
      <c r="E125" s="469"/>
      <c r="F125" s="466"/>
    </row>
    <row r="126" spans="1:6" ht="24">
      <c r="A126" s="464" t="s">
        <v>846</v>
      </c>
      <c r="B126" s="468">
        <v>421017</v>
      </c>
      <c r="C126" s="463"/>
      <c r="D126" s="464"/>
      <c r="E126" s="469"/>
      <c r="F126" s="466"/>
    </row>
    <row r="127" spans="1:6" ht="24">
      <c r="A127" s="464" t="s">
        <v>847</v>
      </c>
      <c r="B127" s="468">
        <v>421018</v>
      </c>
      <c r="C127" s="463"/>
      <c r="D127" s="464"/>
      <c r="E127" s="469"/>
      <c r="F127" s="466"/>
    </row>
    <row r="128" spans="1:6" ht="24">
      <c r="A128" s="464" t="s">
        <v>848</v>
      </c>
      <c r="B128" s="468">
        <v>421999</v>
      </c>
      <c r="C128" s="463"/>
      <c r="D128" s="464"/>
      <c r="E128" s="469"/>
      <c r="F128" s="466"/>
    </row>
    <row r="129" spans="1:6" ht="24">
      <c r="A129" s="464"/>
      <c r="B129" s="468"/>
      <c r="C129" s="463"/>
      <c r="D129" s="464"/>
      <c r="E129" s="469"/>
      <c r="F129" s="466"/>
    </row>
    <row r="130" spans="1:6" ht="24">
      <c r="A130" s="504" t="s">
        <v>34</v>
      </c>
      <c r="B130" s="505"/>
      <c r="C130" s="488">
        <f>SUM(C109:C128)</f>
        <v>19820000</v>
      </c>
      <c r="D130" s="488">
        <f>SUM(D109:D129)</f>
        <v>1884705.8</v>
      </c>
      <c r="E130" s="477">
        <f>SUM(E109:E128)</f>
        <v>10267800.080000002</v>
      </c>
      <c r="F130" s="506"/>
    </row>
    <row r="131" spans="1:6" ht="24">
      <c r="A131" s="467" t="s">
        <v>490</v>
      </c>
      <c r="B131" s="507">
        <v>430000</v>
      </c>
      <c r="C131" s="463"/>
      <c r="D131" s="464"/>
      <c r="E131" s="469"/>
      <c r="F131" s="466"/>
    </row>
    <row r="132" spans="1:6" ht="24">
      <c r="A132" s="508" t="s">
        <v>849</v>
      </c>
      <c r="B132" s="468">
        <v>431000</v>
      </c>
      <c r="C132" s="463"/>
      <c r="D132" s="464"/>
      <c r="E132" s="469"/>
      <c r="F132" s="466"/>
    </row>
    <row r="133" spans="1:6" ht="24">
      <c r="A133" s="464" t="s">
        <v>850</v>
      </c>
      <c r="B133" s="468">
        <v>431001</v>
      </c>
      <c r="C133" s="478"/>
      <c r="D133" s="479"/>
      <c r="E133" s="469"/>
      <c r="F133" s="466"/>
    </row>
    <row r="134" spans="1:6" ht="24">
      <c r="A134" s="464" t="s">
        <v>851</v>
      </c>
      <c r="B134" s="468">
        <v>431002</v>
      </c>
      <c r="C134" s="509">
        <v>19000000</v>
      </c>
      <c r="D134" s="510"/>
      <c r="E134" s="473">
        <v>20402245</v>
      </c>
      <c r="F134" s="466"/>
    </row>
    <row r="135" spans="1:6" ht="24">
      <c r="A135" s="464" t="s">
        <v>852</v>
      </c>
      <c r="B135" s="468"/>
      <c r="C135" s="478"/>
      <c r="D135" s="479"/>
      <c r="E135" s="469"/>
      <c r="F135" s="466"/>
    </row>
    <row r="136" spans="1:6" ht="24">
      <c r="A136" s="475" t="s">
        <v>34</v>
      </c>
      <c r="B136" s="491"/>
      <c r="C136" s="511">
        <f>SUM(C132:C135)</f>
        <v>19000000</v>
      </c>
      <c r="D136" s="512">
        <f>SUM(D134:D135)</f>
        <v>0</v>
      </c>
      <c r="E136" s="499">
        <f>SUM(E134:E135)</f>
        <v>20402245</v>
      </c>
      <c r="F136" s="466"/>
    </row>
    <row r="137" spans="1:6" ht="24">
      <c r="A137" s="467" t="s">
        <v>500</v>
      </c>
      <c r="B137" s="513">
        <v>440000</v>
      </c>
      <c r="C137" s="463"/>
      <c r="D137" s="464"/>
      <c r="E137" s="469"/>
      <c r="F137" s="466"/>
    </row>
    <row r="138" spans="1:6" ht="24">
      <c r="A138" s="464" t="s">
        <v>853</v>
      </c>
      <c r="B138" s="468">
        <v>441000</v>
      </c>
      <c r="C138" s="463"/>
      <c r="D138" s="464"/>
      <c r="E138" s="469"/>
      <c r="F138" s="466"/>
    </row>
    <row r="139" spans="1:6" ht="24">
      <c r="A139" s="464" t="s">
        <v>854</v>
      </c>
      <c r="B139" s="468">
        <v>441001</v>
      </c>
      <c r="C139" s="463"/>
      <c r="D139" s="479"/>
      <c r="E139" s="469"/>
      <c r="F139" s="466"/>
    </row>
    <row r="140" spans="1:6" ht="24">
      <c r="A140" s="464" t="s">
        <v>855</v>
      </c>
      <c r="B140" s="468"/>
      <c r="C140" s="463"/>
      <c r="D140" s="479"/>
      <c r="E140" s="469">
        <v>28000</v>
      </c>
      <c r="F140" s="466"/>
    </row>
    <row r="141" spans="1:6" ht="24">
      <c r="A141" s="464" t="s">
        <v>856</v>
      </c>
      <c r="B141" s="468"/>
      <c r="C141" s="463"/>
      <c r="D141" s="479"/>
      <c r="E141" s="469">
        <v>1600</v>
      </c>
      <c r="F141" s="466"/>
    </row>
    <row r="142" spans="1:6" ht="24">
      <c r="A142" s="464" t="s">
        <v>857</v>
      </c>
      <c r="B142" s="468"/>
      <c r="C142" s="463"/>
      <c r="D142" s="479">
        <v>2007</v>
      </c>
      <c r="E142" s="469">
        <v>2007</v>
      </c>
      <c r="F142" s="466"/>
    </row>
    <row r="143" spans="1:6" ht="24">
      <c r="A143" s="464" t="s">
        <v>858</v>
      </c>
      <c r="B143" s="468">
        <v>441002</v>
      </c>
      <c r="C143" s="463"/>
      <c r="D143" s="479"/>
      <c r="E143" s="469"/>
      <c r="F143" s="501"/>
    </row>
    <row r="144" spans="1:6" ht="24">
      <c r="A144" s="464" t="s">
        <v>859</v>
      </c>
      <c r="B144" s="468"/>
      <c r="C144" s="463"/>
      <c r="D144" s="479">
        <v>900000</v>
      </c>
      <c r="E144" s="469">
        <f>900000+900000</f>
        <v>1800000</v>
      </c>
      <c r="F144" s="501"/>
    </row>
    <row r="145" spans="1:6" ht="24">
      <c r="A145" s="464" t="s">
        <v>860</v>
      </c>
      <c r="B145" s="468"/>
      <c r="C145" s="463"/>
      <c r="D145" s="479">
        <v>5998200</v>
      </c>
      <c r="E145" s="469">
        <f>5998200+5998200</f>
        <v>11996400</v>
      </c>
      <c r="F145" s="501"/>
    </row>
    <row r="146" spans="1:6" ht="24">
      <c r="A146" s="464" t="s">
        <v>861</v>
      </c>
      <c r="B146" s="468"/>
      <c r="C146" s="463"/>
      <c r="D146" s="479"/>
      <c r="E146" s="469">
        <v>210000</v>
      </c>
      <c r="F146" s="501"/>
    </row>
    <row r="147" spans="1:6" ht="24">
      <c r="A147" s="464" t="s">
        <v>862</v>
      </c>
      <c r="B147" s="468">
        <v>499999</v>
      </c>
      <c r="C147" s="463"/>
      <c r="D147" s="479"/>
      <c r="E147" s="469">
        <f>SUM(D147)</f>
        <v>0</v>
      </c>
      <c r="F147" s="466"/>
    </row>
    <row r="148" spans="1:6" ht="24">
      <c r="A148" s="464"/>
      <c r="B148" s="468"/>
      <c r="C148" s="463"/>
      <c r="D148" s="479"/>
      <c r="E148" s="469"/>
      <c r="F148" s="466"/>
    </row>
    <row r="149" spans="1:6" ht="24">
      <c r="A149" s="514" t="s">
        <v>863</v>
      </c>
      <c r="B149" s="515"/>
      <c r="C149" s="516"/>
      <c r="D149" s="517">
        <f>SUM(D139:D148)</f>
        <v>6900207</v>
      </c>
      <c r="E149" s="518">
        <f>SUM(E139:E148)</f>
        <v>14038007</v>
      </c>
      <c r="F149" s="466"/>
    </row>
    <row r="150" spans="1:6" ht="24.75" thickBot="1">
      <c r="A150" s="519" t="s">
        <v>864</v>
      </c>
      <c r="B150" s="520"/>
      <c r="C150" s="521">
        <f>C16+C74+C82+C102+C106+C130+C136</f>
        <v>40000000</v>
      </c>
      <c r="D150" s="522">
        <f>D16+D74+D82+D102+D130+D136+D149+D106</f>
        <v>9031798.02</v>
      </c>
      <c r="E150" s="522">
        <f>E16+E74+E82+E102+E130+E136+E149+E106</f>
        <v>45596189.620000005</v>
      </c>
      <c r="F150" s="466"/>
    </row>
    <row r="151" spans="2:6" ht="24.75" thickTop="1">
      <c r="B151" s="506"/>
      <c r="C151" s="506"/>
      <c r="D151" s="506"/>
      <c r="E151" s="523"/>
      <c r="F151" s="506"/>
    </row>
    <row r="152" spans="1:6" ht="24">
      <c r="A152" s="506"/>
      <c r="B152" s="506"/>
      <c r="C152" s="524"/>
      <c r="D152" s="506"/>
      <c r="E152" s="523"/>
      <c r="F152" s="506"/>
    </row>
    <row r="153" spans="1:6" ht="24">
      <c r="A153" s="506"/>
      <c r="B153" s="506"/>
      <c r="C153" s="506"/>
      <c r="D153" s="506"/>
      <c r="E153" s="523"/>
      <c r="F153" s="523"/>
    </row>
    <row r="154" spans="1:6" ht="24">
      <c r="A154" s="506"/>
      <c r="B154" s="506"/>
      <c r="C154" s="506"/>
      <c r="D154" s="506"/>
      <c r="E154" s="523"/>
      <c r="F154" s="506"/>
    </row>
    <row r="155" spans="1:6" ht="24">
      <c r="A155" s="506"/>
      <c r="B155" s="506"/>
      <c r="C155" s="506"/>
      <c r="D155" s="506"/>
      <c r="E155" s="523"/>
      <c r="F155" s="506"/>
    </row>
    <row r="156" ht="24">
      <c r="A156" s="506"/>
    </row>
    <row r="157" ht="24">
      <c r="A157" s="506"/>
    </row>
    <row r="158" ht="24">
      <c r="A158" s="506"/>
    </row>
    <row r="159" ht="24">
      <c r="A159" s="506"/>
    </row>
    <row r="160" ht="24">
      <c r="A160" s="506"/>
    </row>
    <row r="161" ht="24">
      <c r="A161" s="506"/>
    </row>
    <row r="162" ht="24">
      <c r="A162" s="506"/>
    </row>
    <row r="163" ht="24">
      <c r="A163" s="506"/>
    </row>
    <row r="164" ht="24">
      <c r="A164" s="506"/>
    </row>
    <row r="165" spans="1:5" ht="24">
      <c r="A165" s="506"/>
      <c r="B165" s="506"/>
      <c r="C165" s="506"/>
      <c r="D165" s="506"/>
      <c r="E165" s="523"/>
    </row>
    <row r="166" spans="1:5" ht="24">
      <c r="A166" s="506"/>
      <c r="B166" s="506"/>
      <c r="C166" s="506"/>
      <c r="D166" s="506"/>
      <c r="E166" s="523"/>
    </row>
    <row r="167" spans="1:5" ht="24">
      <c r="A167" s="506"/>
      <c r="B167" s="506"/>
      <c r="C167" s="506"/>
      <c r="D167" s="506"/>
      <c r="E167" s="523"/>
    </row>
    <row r="168" spans="1:5" ht="24">
      <c r="A168" s="506"/>
      <c r="B168" s="506"/>
      <c r="C168" s="506"/>
      <c r="D168" s="506"/>
      <c r="E168" s="523"/>
    </row>
    <row r="169" spans="1:5" ht="24">
      <c r="A169" s="506"/>
      <c r="B169" s="506"/>
      <c r="C169" s="506"/>
      <c r="D169" s="506"/>
      <c r="E169" s="523"/>
    </row>
    <row r="170" spans="1:5" ht="24">
      <c r="A170" s="506"/>
      <c r="B170" s="506"/>
      <c r="C170" s="506"/>
      <c r="D170" s="506"/>
      <c r="E170" s="523"/>
    </row>
    <row r="171" spans="1:5" ht="24">
      <c r="A171" s="506"/>
      <c r="B171" s="506"/>
      <c r="C171" s="506"/>
      <c r="D171" s="506"/>
      <c r="E171" s="523"/>
    </row>
    <row r="172" spans="1:5" ht="24">
      <c r="A172" s="506"/>
      <c r="B172" s="506"/>
      <c r="C172" s="506"/>
      <c r="D172" s="506"/>
      <c r="E172" s="523"/>
    </row>
    <row r="173" spans="1:5" ht="24">
      <c r="A173" s="506"/>
      <c r="B173" s="506"/>
      <c r="C173" s="506"/>
      <c r="D173" s="506"/>
      <c r="E173" s="523"/>
    </row>
    <row r="174" spans="1:5" ht="24">
      <c r="A174" s="506"/>
      <c r="B174" s="506"/>
      <c r="C174" s="506"/>
      <c r="D174" s="506"/>
      <c r="E174" s="523"/>
    </row>
    <row r="175" spans="1:5" ht="24">
      <c r="A175" s="506"/>
      <c r="B175" s="506"/>
      <c r="C175" s="506"/>
      <c r="D175" s="506"/>
      <c r="E175" s="523"/>
    </row>
    <row r="176" spans="1:5" ht="24">
      <c r="A176" s="506"/>
      <c r="B176" s="506"/>
      <c r="C176" s="506"/>
      <c r="D176" s="506"/>
      <c r="E176" s="523"/>
    </row>
    <row r="177" spans="1:5" ht="24">
      <c r="A177" s="506"/>
      <c r="B177" s="506"/>
      <c r="C177" s="506"/>
      <c r="D177" s="506"/>
      <c r="E177" s="523"/>
    </row>
    <row r="178" spans="1:5" ht="24">
      <c r="A178" s="506"/>
      <c r="B178" s="506"/>
      <c r="C178" s="506"/>
      <c r="D178" s="506"/>
      <c r="E178" s="523"/>
    </row>
    <row r="179" spans="1:5" ht="24">
      <c r="A179" s="506"/>
      <c r="B179" s="506"/>
      <c r="C179" s="506"/>
      <c r="D179" s="506"/>
      <c r="E179" s="523"/>
    </row>
    <row r="180" spans="1:5" ht="24">
      <c r="A180" s="506"/>
      <c r="B180" s="506"/>
      <c r="C180" s="506"/>
      <c r="D180" s="506"/>
      <c r="E180" s="523"/>
    </row>
    <row r="181" spans="1:5" ht="24">
      <c r="A181" s="506"/>
      <c r="B181" s="506"/>
      <c r="C181" s="506"/>
      <c r="D181" s="506"/>
      <c r="E181" s="523"/>
    </row>
    <row r="182" spans="1:5" ht="24">
      <c r="A182" s="506"/>
      <c r="B182" s="506"/>
      <c r="C182" s="506"/>
      <c r="D182" s="506"/>
      <c r="E182" s="523"/>
    </row>
    <row r="183" spans="1:5" ht="24">
      <c r="A183" s="506"/>
      <c r="B183" s="506"/>
      <c r="C183" s="506"/>
      <c r="D183" s="506"/>
      <c r="E183" s="523"/>
    </row>
    <row r="184" spans="1:5" ht="24">
      <c r="A184" s="506"/>
      <c r="B184" s="506"/>
      <c r="C184" s="506"/>
      <c r="D184" s="506"/>
      <c r="E184" s="523"/>
    </row>
    <row r="185" spans="1:5" ht="24">
      <c r="A185" s="506"/>
      <c r="B185" s="506"/>
      <c r="C185" s="506"/>
      <c r="D185" s="506"/>
      <c r="E185" s="523"/>
    </row>
    <row r="186" spans="1:5" ht="24">
      <c r="A186" s="506"/>
      <c r="B186" s="506"/>
      <c r="C186" s="506"/>
      <c r="D186" s="506"/>
      <c r="E186" s="523"/>
    </row>
    <row r="187" spans="1:5" ht="24">
      <c r="A187" s="506"/>
      <c r="B187" s="506"/>
      <c r="C187" s="506"/>
      <c r="D187" s="506"/>
      <c r="E187" s="523"/>
    </row>
    <row r="188" spans="1:5" ht="24">
      <c r="A188" s="506"/>
      <c r="B188" s="506"/>
      <c r="C188" s="506"/>
      <c r="D188" s="506"/>
      <c r="E188" s="523"/>
    </row>
    <row r="189" spans="1:5" ht="24">
      <c r="A189" s="506"/>
      <c r="B189" s="506"/>
      <c r="C189" s="506"/>
      <c r="D189" s="506"/>
      <c r="E189" s="523"/>
    </row>
    <row r="190" spans="1:5" ht="24">
      <c r="A190" s="506"/>
      <c r="B190" s="506"/>
      <c r="C190" s="506"/>
      <c r="D190" s="506"/>
      <c r="E190" s="523"/>
    </row>
    <row r="191" spans="1:5" ht="24">
      <c r="A191" s="506"/>
      <c r="B191" s="506"/>
      <c r="C191" s="506"/>
      <c r="D191" s="506"/>
      <c r="E191" s="523"/>
    </row>
    <row r="192" spans="1:5" ht="24">
      <c r="A192" s="506"/>
      <c r="B192" s="506"/>
      <c r="C192" s="506"/>
      <c r="D192" s="506"/>
      <c r="E192" s="523"/>
    </row>
    <row r="193" spans="1:5" ht="24">
      <c r="A193" s="506"/>
      <c r="B193" s="506"/>
      <c r="C193" s="506"/>
      <c r="D193" s="506"/>
      <c r="E193" s="523"/>
    </row>
    <row r="194" spans="1:5" ht="24">
      <c r="A194" s="506"/>
      <c r="B194" s="506"/>
      <c r="C194" s="506"/>
      <c r="D194" s="506"/>
      <c r="E194" s="523"/>
    </row>
    <row r="195" spans="1:5" ht="24">
      <c r="A195" s="506"/>
      <c r="B195" s="506"/>
      <c r="C195" s="506"/>
      <c r="D195" s="506"/>
      <c r="E195" s="523"/>
    </row>
    <row r="196" spans="1:5" ht="24">
      <c r="A196" s="506"/>
      <c r="B196" s="506"/>
      <c r="C196" s="506"/>
      <c r="D196" s="506"/>
      <c r="E196" s="523"/>
    </row>
    <row r="197" spans="1:5" ht="24">
      <c r="A197" s="506"/>
      <c r="B197" s="506"/>
      <c r="C197" s="506"/>
      <c r="D197" s="506"/>
      <c r="E197" s="523"/>
    </row>
    <row r="198" spans="1:5" ht="24">
      <c r="A198" s="506"/>
      <c r="B198" s="506"/>
      <c r="C198" s="506"/>
      <c r="D198" s="506"/>
      <c r="E198" s="523"/>
    </row>
    <row r="199" spans="1:5" ht="24">
      <c r="A199" s="506"/>
      <c r="B199" s="506"/>
      <c r="C199" s="506"/>
      <c r="D199" s="506"/>
      <c r="E199" s="523"/>
    </row>
    <row r="200" spans="1:5" ht="24">
      <c r="A200" s="506"/>
      <c r="B200" s="506"/>
      <c r="C200" s="506"/>
      <c r="D200" s="506"/>
      <c r="E200" s="523"/>
    </row>
    <row r="201" spans="1:5" ht="24">
      <c r="A201" s="506"/>
      <c r="B201" s="506"/>
      <c r="C201" s="506"/>
      <c r="D201" s="506"/>
      <c r="E201" s="523"/>
    </row>
    <row r="202" spans="1:5" ht="24">
      <c r="A202" s="506"/>
      <c r="B202" s="506"/>
      <c r="C202" s="506"/>
      <c r="D202" s="506"/>
      <c r="E202" s="523"/>
    </row>
    <row r="203" spans="1:5" ht="24">
      <c r="A203" s="506"/>
      <c r="B203" s="506"/>
      <c r="C203" s="506"/>
      <c r="D203" s="506"/>
      <c r="E203" s="523"/>
    </row>
    <row r="204" spans="1:5" ht="24">
      <c r="A204" s="506"/>
      <c r="B204" s="506"/>
      <c r="C204" s="506"/>
      <c r="D204" s="506"/>
      <c r="E204" s="523"/>
    </row>
    <row r="205" spans="1:5" ht="24">
      <c r="A205" s="506"/>
      <c r="B205" s="506"/>
      <c r="C205" s="506"/>
      <c r="D205" s="506"/>
      <c r="E205" s="523"/>
    </row>
    <row r="206" spans="1:5" ht="24">
      <c r="A206" s="506"/>
      <c r="B206" s="506"/>
      <c r="C206" s="506"/>
      <c r="D206" s="506"/>
      <c r="E206" s="523"/>
    </row>
    <row r="207" spans="1:5" ht="24">
      <c r="A207" s="506"/>
      <c r="B207" s="506"/>
      <c r="C207" s="506"/>
      <c r="D207" s="506"/>
      <c r="E207" s="523"/>
    </row>
    <row r="208" spans="1:5" ht="24">
      <c r="A208" s="506"/>
      <c r="B208" s="506"/>
      <c r="C208" s="506"/>
      <c r="D208" s="506"/>
      <c r="E208" s="523"/>
    </row>
    <row r="209" spans="1:5" ht="24">
      <c r="A209" s="506"/>
      <c r="B209" s="506"/>
      <c r="C209" s="506"/>
      <c r="D209" s="506"/>
      <c r="E209" s="523"/>
    </row>
    <row r="210" spans="1:5" ht="24">
      <c r="A210" s="506"/>
      <c r="B210" s="506"/>
      <c r="C210" s="506"/>
      <c r="D210" s="506"/>
      <c r="E210" s="523"/>
    </row>
    <row r="211" spans="1:5" ht="24">
      <c r="A211" s="506"/>
      <c r="B211" s="506"/>
      <c r="C211" s="506"/>
      <c r="D211" s="506"/>
      <c r="E211" s="523"/>
    </row>
    <row r="212" spans="1:5" ht="24">
      <c r="A212" s="506"/>
      <c r="B212" s="506"/>
      <c r="C212" s="506"/>
      <c r="D212" s="506"/>
      <c r="E212" s="523"/>
    </row>
    <row r="213" spans="1:5" ht="24">
      <c r="A213" s="506"/>
      <c r="B213" s="506"/>
      <c r="C213" s="506"/>
      <c r="D213" s="506"/>
      <c r="E213" s="523"/>
    </row>
    <row r="214" spans="1:5" ht="24">
      <c r="A214" s="506"/>
      <c r="B214" s="506"/>
      <c r="C214" s="506"/>
      <c r="D214" s="506"/>
      <c r="E214" s="523"/>
    </row>
    <row r="215" spans="1:5" ht="24">
      <c r="A215" s="506"/>
      <c r="B215" s="506"/>
      <c r="C215" s="506"/>
      <c r="D215" s="506"/>
      <c r="E215" s="523"/>
    </row>
    <row r="216" spans="1:5" ht="24">
      <c r="A216" s="506"/>
      <c r="B216" s="506"/>
      <c r="C216" s="506"/>
      <c r="D216" s="506"/>
      <c r="E216" s="523"/>
    </row>
    <row r="217" spans="1:5" ht="24">
      <c r="A217" s="506"/>
      <c r="B217" s="506"/>
      <c r="C217" s="506"/>
      <c r="D217" s="506"/>
      <c r="E217" s="523"/>
    </row>
    <row r="218" spans="1:5" ht="24">
      <c r="A218" s="506"/>
      <c r="B218" s="506"/>
      <c r="C218" s="506"/>
      <c r="D218" s="506"/>
      <c r="E218" s="523"/>
    </row>
    <row r="219" spans="1:5" ht="24">
      <c r="A219" s="506"/>
      <c r="B219" s="506"/>
      <c r="C219" s="506"/>
      <c r="D219" s="506"/>
      <c r="E219" s="523"/>
    </row>
    <row r="220" spans="1:5" ht="24">
      <c r="A220" s="506"/>
      <c r="B220" s="506"/>
      <c r="C220" s="506"/>
      <c r="D220" s="506"/>
      <c r="E220" s="523"/>
    </row>
    <row r="221" spans="1:5" ht="24">
      <c r="A221" s="506"/>
      <c r="B221" s="506"/>
      <c r="C221" s="506"/>
      <c r="D221" s="506"/>
      <c r="E221" s="523"/>
    </row>
    <row r="222" spans="1:5" ht="24">
      <c r="A222" s="506"/>
      <c r="B222" s="506"/>
      <c r="C222" s="506"/>
      <c r="D222" s="506"/>
      <c r="E222" s="523"/>
    </row>
    <row r="223" spans="1:5" ht="24">
      <c r="A223" s="506"/>
      <c r="B223" s="506"/>
      <c r="C223" s="506"/>
      <c r="D223" s="506"/>
      <c r="E223" s="523"/>
    </row>
    <row r="224" spans="1:5" ht="24">
      <c r="A224" s="506"/>
      <c r="B224" s="506"/>
      <c r="C224" s="506"/>
      <c r="D224" s="506"/>
      <c r="E224" s="523"/>
    </row>
    <row r="225" spans="1:5" ht="24">
      <c r="A225" s="506"/>
      <c r="B225" s="506"/>
      <c r="C225" s="506"/>
      <c r="D225" s="506"/>
      <c r="E225" s="523"/>
    </row>
    <row r="226" spans="1:5" ht="24">
      <c r="A226" s="506"/>
      <c r="B226" s="506"/>
      <c r="C226" s="506"/>
      <c r="D226" s="506"/>
      <c r="E226" s="523"/>
    </row>
    <row r="227" spans="1:5" ht="24">
      <c r="A227" s="506"/>
      <c r="B227" s="506"/>
      <c r="C227" s="506"/>
      <c r="D227" s="506"/>
      <c r="E227" s="523"/>
    </row>
    <row r="228" spans="1:5" ht="24">
      <c r="A228" s="506"/>
      <c r="B228" s="506"/>
      <c r="C228" s="506"/>
      <c r="D228" s="506"/>
      <c r="E228" s="523"/>
    </row>
    <row r="229" ht="24">
      <c r="A229" s="506"/>
    </row>
    <row r="230" ht="24">
      <c r="A230" s="506"/>
    </row>
    <row r="231" ht="24">
      <c r="A231" s="506"/>
    </row>
    <row r="232" ht="24">
      <c r="A232" s="506"/>
    </row>
    <row r="233" ht="24">
      <c r="A233" s="506"/>
    </row>
    <row r="234" ht="24">
      <c r="A234" s="506"/>
    </row>
    <row r="235" ht="24">
      <c r="A235" s="506"/>
    </row>
    <row r="236" ht="24">
      <c r="A236" s="506"/>
    </row>
    <row r="237" ht="24">
      <c r="A237" s="506"/>
    </row>
    <row r="238" ht="24">
      <c r="A238" s="506"/>
    </row>
    <row r="239" ht="24">
      <c r="A239" s="506"/>
    </row>
    <row r="240" ht="24">
      <c r="A240" s="506"/>
    </row>
    <row r="241" ht="24">
      <c r="A241" s="506"/>
    </row>
    <row r="242" ht="24">
      <c r="A242" s="506"/>
    </row>
    <row r="243" ht="24">
      <c r="A243" s="506"/>
    </row>
    <row r="244" ht="24">
      <c r="A244" s="506"/>
    </row>
    <row r="245" ht="24">
      <c r="A245" s="506"/>
    </row>
    <row r="246" ht="24">
      <c r="A246" s="506"/>
    </row>
    <row r="247" ht="24">
      <c r="A247" s="506"/>
    </row>
    <row r="248" ht="24">
      <c r="A248" s="506"/>
    </row>
    <row r="249" ht="24">
      <c r="A249" s="506"/>
    </row>
    <row r="250" ht="24">
      <c r="A250" s="506"/>
    </row>
    <row r="251" ht="24">
      <c r="A251" s="506"/>
    </row>
    <row r="252" ht="24">
      <c r="A252" s="506"/>
    </row>
    <row r="253" ht="24">
      <c r="A253" s="506"/>
    </row>
  </sheetData>
  <sheetProtection/>
  <mergeCells count="6">
    <mergeCell ref="A2:E2"/>
    <mergeCell ref="A3:E3"/>
    <mergeCell ref="A4:A5"/>
    <mergeCell ref="B4:B5"/>
    <mergeCell ref="C4:C5"/>
    <mergeCell ref="D4:D5"/>
  </mergeCells>
  <printOptions/>
  <pageMargins left="0.27" right="0.11" top="0.5118110236220472" bottom="0.4724409448818898" header="0.3937007874015748" footer="0.1968503937007874"/>
  <pageSetup horizontalDpi="180" verticalDpi="180" orientation="portrait" paperSize="9" r:id="rId1"/>
  <headerFooter alignWithMargins="0">
    <oddFooter>&amp;R&amp;ห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1">
      <selection activeCell="G13" sqref="G13:H13"/>
    </sheetView>
  </sheetViews>
  <sheetFormatPr defaultColWidth="9.140625" defaultRowHeight="15"/>
  <cols>
    <col min="1" max="1" width="3.421875" style="431" customWidth="1"/>
    <col min="2" max="2" width="34.57421875" style="431" customWidth="1"/>
    <col min="3" max="3" width="12.421875" style="431" customWidth="1"/>
    <col min="4" max="4" width="6.140625" style="431" customWidth="1"/>
    <col min="5" max="5" width="10.28125" style="431" customWidth="1"/>
    <col min="6" max="6" width="8.00390625" style="431" customWidth="1"/>
    <col min="7" max="7" width="14.140625" style="431" customWidth="1"/>
    <col min="8" max="8" width="10.57421875" style="431" customWidth="1"/>
    <col min="9" max="13" width="9.00390625" style="430" customWidth="1"/>
    <col min="14" max="14" width="17.421875" style="430" customWidth="1"/>
    <col min="15" max="15" width="16.00390625" style="430" customWidth="1"/>
    <col min="16" max="16" width="4.140625" style="430" customWidth="1"/>
    <col min="17" max="17" width="9.00390625" style="430" customWidth="1"/>
    <col min="18" max="18" width="4.140625" style="430" customWidth="1"/>
    <col min="19" max="16384" width="9.00390625" style="430" customWidth="1"/>
  </cols>
  <sheetData>
    <row r="1" spans="1:18" ht="30">
      <c r="A1" s="862" t="s">
        <v>71</v>
      </c>
      <c r="B1" s="862"/>
      <c r="C1" s="862"/>
      <c r="D1" s="862"/>
      <c r="E1" s="862"/>
      <c r="F1" s="862"/>
      <c r="G1" s="862"/>
      <c r="H1" s="862"/>
      <c r="I1" s="863" t="s">
        <v>71</v>
      </c>
      <c r="J1" s="864"/>
      <c r="K1" s="864"/>
      <c r="L1" s="864"/>
      <c r="M1" s="864"/>
      <c r="N1" s="864"/>
      <c r="O1" s="864"/>
      <c r="P1" s="864"/>
      <c r="Q1" s="864"/>
      <c r="R1" s="864"/>
    </row>
    <row r="2" spans="1:18" ht="30">
      <c r="A2" s="862" t="s">
        <v>677</v>
      </c>
      <c r="B2" s="862"/>
      <c r="C2" s="862"/>
      <c r="D2" s="862"/>
      <c r="E2" s="862"/>
      <c r="F2" s="862"/>
      <c r="G2" s="862"/>
      <c r="H2" s="862"/>
      <c r="I2" s="863" t="s">
        <v>678</v>
      </c>
      <c r="J2" s="863"/>
      <c r="K2" s="863"/>
      <c r="L2" s="863"/>
      <c r="M2" s="863"/>
      <c r="N2" s="863"/>
      <c r="O2" s="863"/>
      <c r="P2" s="863"/>
      <c r="Q2" s="863"/>
      <c r="R2" s="863"/>
    </row>
    <row r="3" spans="1:18" ht="27" thickBot="1">
      <c r="A3" s="863" t="s">
        <v>674</v>
      </c>
      <c r="B3" s="863"/>
      <c r="C3" s="863"/>
      <c r="D3" s="863"/>
      <c r="E3" s="863"/>
      <c r="F3" s="863"/>
      <c r="G3" s="863"/>
      <c r="H3" s="863"/>
      <c r="I3" s="863" t="s">
        <v>679</v>
      </c>
      <c r="J3" s="863"/>
      <c r="K3" s="863"/>
      <c r="L3" s="863"/>
      <c r="M3" s="863"/>
      <c r="N3" s="863"/>
      <c r="O3" s="863"/>
      <c r="P3" s="863"/>
      <c r="Q3" s="863"/>
      <c r="R3" s="863"/>
    </row>
    <row r="4" spans="1:18" ht="27" thickBot="1">
      <c r="A4" s="863" t="s">
        <v>680</v>
      </c>
      <c r="B4" s="863"/>
      <c r="C4" s="863"/>
      <c r="D4" s="863"/>
      <c r="E4" s="863"/>
      <c r="F4" s="863"/>
      <c r="G4" s="863"/>
      <c r="H4" s="863"/>
      <c r="I4" s="865" t="s">
        <v>681</v>
      </c>
      <c r="J4" s="866"/>
      <c r="K4" s="865" t="s">
        <v>213</v>
      </c>
      <c r="L4" s="867"/>
      <c r="M4" s="867"/>
      <c r="N4" s="866"/>
      <c r="O4" s="865" t="s">
        <v>682</v>
      </c>
      <c r="P4" s="866"/>
      <c r="Q4" s="865" t="s">
        <v>153</v>
      </c>
      <c r="R4" s="866"/>
    </row>
    <row r="5" spans="9:18" ht="20.25">
      <c r="I5" s="868">
        <v>1</v>
      </c>
      <c r="J5" s="869"/>
      <c r="K5" s="870" t="s">
        <v>683</v>
      </c>
      <c r="L5" s="871"/>
      <c r="M5" s="871"/>
      <c r="N5" s="872"/>
      <c r="O5" s="432" t="s">
        <v>684</v>
      </c>
      <c r="P5" s="433" t="s">
        <v>685</v>
      </c>
      <c r="Q5" s="434"/>
      <c r="R5" s="435"/>
    </row>
    <row r="6" spans="9:18" ht="20.25">
      <c r="I6" s="434"/>
      <c r="J6" s="435"/>
      <c r="K6" s="434"/>
      <c r="L6" s="436"/>
      <c r="M6" s="436"/>
      <c r="N6" s="435"/>
      <c r="O6" s="437"/>
      <c r="P6" s="435"/>
      <c r="Q6" s="434"/>
      <c r="R6" s="435"/>
    </row>
    <row r="7" spans="1:18" ht="20.25">
      <c r="A7" s="775" t="s">
        <v>686</v>
      </c>
      <c r="B7" s="756"/>
      <c r="C7" s="873" t="s">
        <v>675</v>
      </c>
      <c r="D7" s="873"/>
      <c r="E7" s="873" t="s">
        <v>676</v>
      </c>
      <c r="F7" s="873"/>
      <c r="G7" s="873" t="s">
        <v>687</v>
      </c>
      <c r="H7" s="873"/>
      <c r="I7" s="436"/>
      <c r="J7" s="435"/>
      <c r="K7" s="434"/>
      <c r="L7" s="436"/>
      <c r="M7" s="436"/>
      <c r="N7" s="435"/>
      <c r="O7" s="437"/>
      <c r="P7" s="435"/>
      <c r="Q7" s="434"/>
      <c r="R7" s="435"/>
    </row>
    <row r="8" spans="1:18" ht="20.25">
      <c r="A8" s="431" t="s">
        <v>688</v>
      </c>
      <c r="C8" s="781">
        <v>160.2</v>
      </c>
      <c r="D8" s="874"/>
      <c r="E8" s="783">
        <v>0</v>
      </c>
      <c r="F8" s="875"/>
      <c r="G8" s="781">
        <v>17703.73</v>
      </c>
      <c r="H8" s="874"/>
      <c r="I8" s="436"/>
      <c r="J8" s="435"/>
      <c r="K8" s="434"/>
      <c r="L8" s="436"/>
      <c r="M8" s="436"/>
      <c r="N8" s="435"/>
      <c r="O8" s="437"/>
      <c r="P8" s="435"/>
      <c r="Q8" s="434"/>
      <c r="R8" s="435"/>
    </row>
    <row r="9" spans="1:18" ht="20.25">
      <c r="A9" s="431" t="s">
        <v>689</v>
      </c>
      <c r="C9" s="769">
        <v>7611.14</v>
      </c>
      <c r="D9" s="876"/>
      <c r="E9" s="765">
        <v>42423.22</v>
      </c>
      <c r="F9" s="877"/>
      <c r="G9" s="765">
        <v>7611.14</v>
      </c>
      <c r="H9" s="877"/>
      <c r="I9" s="436"/>
      <c r="J9" s="435"/>
      <c r="K9" s="434"/>
      <c r="L9" s="436"/>
      <c r="M9" s="436"/>
      <c r="N9" s="435"/>
      <c r="O9" s="437"/>
      <c r="P9" s="435"/>
      <c r="Q9" s="434"/>
      <c r="R9" s="435"/>
    </row>
    <row r="10" spans="1:18" ht="20.25">
      <c r="A10" s="431" t="s">
        <v>690</v>
      </c>
      <c r="C10" s="769">
        <v>15000</v>
      </c>
      <c r="D10" s="876"/>
      <c r="E10" s="765">
        <v>68850</v>
      </c>
      <c r="F10" s="877"/>
      <c r="G10" s="769">
        <v>600981</v>
      </c>
      <c r="H10" s="876"/>
      <c r="I10" s="436"/>
      <c r="J10" s="435"/>
      <c r="K10" s="434"/>
      <c r="L10" s="436"/>
      <c r="M10" s="436"/>
      <c r="N10" s="435"/>
      <c r="O10" s="437"/>
      <c r="P10" s="435"/>
      <c r="Q10" s="434"/>
      <c r="R10" s="435"/>
    </row>
    <row r="11" spans="3:18" ht="20.25">
      <c r="C11" s="769"/>
      <c r="D11" s="876"/>
      <c r="E11" s="765"/>
      <c r="F11" s="877"/>
      <c r="G11" s="878"/>
      <c r="H11" s="876"/>
      <c r="I11" s="436"/>
      <c r="J11" s="435"/>
      <c r="K11" s="434"/>
      <c r="L11" s="436"/>
      <c r="M11" s="436"/>
      <c r="N11" s="435"/>
      <c r="O11" s="437"/>
      <c r="P11" s="435"/>
      <c r="Q11" s="434"/>
      <c r="R11" s="435"/>
    </row>
    <row r="12" spans="3:18" ht="20.25">
      <c r="C12" s="779"/>
      <c r="D12" s="780"/>
      <c r="E12" s="757"/>
      <c r="F12" s="879"/>
      <c r="G12" s="757"/>
      <c r="H12" s="879"/>
      <c r="I12" s="436"/>
      <c r="J12" s="435"/>
      <c r="K12" s="434"/>
      <c r="L12" s="436"/>
      <c r="M12" s="436"/>
      <c r="N12" s="435"/>
      <c r="O12" s="437"/>
      <c r="P12" s="435"/>
      <c r="Q12" s="434"/>
      <c r="R12" s="435"/>
    </row>
    <row r="13" spans="2:18" ht="21" thickBot="1">
      <c r="B13" s="439" t="s">
        <v>34</v>
      </c>
      <c r="C13" s="763">
        <f>SUM(C8:D12)</f>
        <v>22771.34</v>
      </c>
      <c r="D13" s="880"/>
      <c r="E13" s="763">
        <f>SUM(E8:F12)</f>
        <v>111273.22</v>
      </c>
      <c r="F13" s="880"/>
      <c r="G13" s="763">
        <f>SUM(G8:H12)</f>
        <v>626295.87</v>
      </c>
      <c r="H13" s="880"/>
      <c r="I13" s="436"/>
      <c r="J13" s="435"/>
      <c r="K13" s="434"/>
      <c r="L13" s="436"/>
      <c r="M13" s="436"/>
      <c r="N13" s="435"/>
      <c r="O13" s="437"/>
      <c r="P13" s="435"/>
      <c r="Q13" s="434"/>
      <c r="R13" s="435"/>
    </row>
    <row r="14" spans="2:18" ht="21" thickTop="1">
      <c r="B14" s="442" t="s">
        <v>691</v>
      </c>
      <c r="I14" s="434"/>
      <c r="J14" s="435"/>
      <c r="K14" s="434"/>
      <c r="L14" s="436"/>
      <c r="M14" s="436"/>
      <c r="N14" s="435"/>
      <c r="O14" s="437"/>
      <c r="P14" s="435"/>
      <c r="Q14" s="434"/>
      <c r="R14" s="435"/>
    </row>
    <row r="15" spans="2:18" ht="20.25">
      <c r="B15" s="442" t="s">
        <v>692</v>
      </c>
      <c r="G15" s="775" t="s">
        <v>693</v>
      </c>
      <c r="H15" s="775"/>
      <c r="I15" s="434"/>
      <c r="J15" s="435"/>
      <c r="K15" s="434"/>
      <c r="L15" s="436"/>
      <c r="M15" s="436"/>
      <c r="N15" s="435"/>
      <c r="O15" s="437"/>
      <c r="P15" s="435"/>
      <c r="Q15" s="434"/>
      <c r="R15" s="435"/>
    </row>
    <row r="16" spans="2:18" ht="20.25">
      <c r="B16" s="881" t="s">
        <v>77</v>
      </c>
      <c r="C16" s="788"/>
      <c r="D16" s="788"/>
      <c r="G16" s="789"/>
      <c r="H16" s="789"/>
      <c r="I16" s="434"/>
      <c r="J16" s="435"/>
      <c r="K16" s="434"/>
      <c r="L16" s="436"/>
      <c r="M16" s="436"/>
      <c r="N16" s="435"/>
      <c r="O16" s="437"/>
      <c r="P16" s="435"/>
      <c r="Q16" s="434"/>
      <c r="R16" s="435"/>
    </row>
    <row r="17" spans="2:18" ht="20.25">
      <c r="B17" s="790" t="s">
        <v>694</v>
      </c>
      <c r="C17" s="790"/>
      <c r="D17" s="790"/>
      <c r="G17" s="882">
        <v>1457993.74</v>
      </c>
      <c r="H17" s="882"/>
      <c r="I17" s="434"/>
      <c r="J17" s="435"/>
      <c r="K17" s="434"/>
      <c r="L17" s="436"/>
      <c r="M17" s="436"/>
      <c r="N17" s="435"/>
      <c r="O17" s="437"/>
      <c r="P17" s="435"/>
      <c r="Q17" s="434"/>
      <c r="R17" s="435"/>
    </row>
    <row r="18" spans="2:18" ht="20.25">
      <c r="B18" s="883" t="s">
        <v>76</v>
      </c>
      <c r="C18" s="794"/>
      <c r="D18" s="794"/>
      <c r="G18" s="791"/>
      <c r="H18" s="791"/>
      <c r="I18" s="434"/>
      <c r="J18" s="435"/>
      <c r="K18" s="434"/>
      <c r="L18" s="436"/>
      <c r="M18" s="436"/>
      <c r="N18" s="435"/>
      <c r="O18" s="437"/>
      <c r="P18" s="435"/>
      <c r="Q18" s="434"/>
      <c r="R18" s="435"/>
    </row>
    <row r="19" spans="2:18" ht="20.25">
      <c r="B19" s="790" t="s">
        <v>695</v>
      </c>
      <c r="C19" s="790"/>
      <c r="D19" s="790"/>
      <c r="G19" s="882">
        <v>6318</v>
      </c>
      <c r="H19" s="882"/>
      <c r="I19" s="434"/>
      <c r="J19" s="435"/>
      <c r="K19" s="434"/>
      <c r="L19" s="436"/>
      <c r="M19" s="436"/>
      <c r="N19" s="435"/>
      <c r="O19" s="437"/>
      <c r="P19" s="435"/>
      <c r="Q19" s="434"/>
      <c r="R19" s="435"/>
    </row>
    <row r="20" spans="2:18" ht="20.25">
      <c r="B20" s="790" t="s">
        <v>696</v>
      </c>
      <c r="C20" s="790"/>
      <c r="D20" s="790"/>
      <c r="G20" s="791">
        <v>2310</v>
      </c>
      <c r="H20" s="791"/>
      <c r="I20" s="434"/>
      <c r="J20" s="435"/>
      <c r="K20" s="434"/>
      <c r="L20" s="436"/>
      <c r="M20" s="436"/>
      <c r="N20" s="435"/>
      <c r="O20" s="437"/>
      <c r="P20" s="435"/>
      <c r="Q20" s="434"/>
      <c r="R20" s="435"/>
    </row>
    <row r="21" spans="2:18" ht="20.25">
      <c r="B21" s="884" t="s">
        <v>54</v>
      </c>
      <c r="C21" s="885"/>
      <c r="D21" s="885"/>
      <c r="G21" s="882">
        <v>0</v>
      </c>
      <c r="H21" s="882"/>
      <c r="I21" s="434"/>
      <c r="J21" s="435"/>
      <c r="K21" s="434"/>
      <c r="L21" s="436"/>
      <c r="M21" s="436"/>
      <c r="N21" s="435"/>
      <c r="O21" s="437"/>
      <c r="P21" s="435"/>
      <c r="Q21" s="434"/>
      <c r="R21" s="435"/>
    </row>
    <row r="22" spans="2:18" ht="20.25">
      <c r="B22" s="443" t="s">
        <v>697</v>
      </c>
      <c r="C22" s="443"/>
      <c r="D22" s="443"/>
      <c r="G22" s="791">
        <v>8000</v>
      </c>
      <c r="H22" s="791"/>
      <c r="I22" s="434"/>
      <c r="J22" s="435"/>
      <c r="K22" s="434"/>
      <c r="L22" s="436"/>
      <c r="M22" s="436"/>
      <c r="N22" s="435"/>
      <c r="O22" s="437"/>
      <c r="P22" s="435"/>
      <c r="Q22" s="434"/>
      <c r="R22" s="435"/>
    </row>
    <row r="23" spans="2:18" ht="20.25">
      <c r="B23" s="794" t="s">
        <v>698</v>
      </c>
      <c r="C23" s="794"/>
      <c r="D23" s="794"/>
      <c r="G23" s="791">
        <v>50000</v>
      </c>
      <c r="H23" s="791"/>
      <c r="I23" s="434"/>
      <c r="J23" s="435"/>
      <c r="K23" s="434"/>
      <c r="L23" s="436"/>
      <c r="M23" s="436"/>
      <c r="N23" s="435"/>
      <c r="O23" s="437"/>
      <c r="P23" s="435"/>
      <c r="Q23" s="434"/>
      <c r="R23" s="435"/>
    </row>
    <row r="24" spans="2:18" ht="20.25">
      <c r="B24" s="796" t="s">
        <v>55</v>
      </c>
      <c r="C24" s="796"/>
      <c r="D24" s="796"/>
      <c r="E24" s="796"/>
      <c r="G24" s="791">
        <v>0</v>
      </c>
      <c r="H24" s="791"/>
      <c r="I24" s="434"/>
      <c r="J24" s="435"/>
      <c r="K24" s="434"/>
      <c r="L24" s="436"/>
      <c r="M24" s="436"/>
      <c r="N24" s="435"/>
      <c r="O24" s="437"/>
      <c r="P24" s="435"/>
      <c r="Q24" s="434"/>
      <c r="R24" s="435"/>
    </row>
    <row r="25" spans="2:18" ht="20.25">
      <c r="B25" s="886" t="s">
        <v>699</v>
      </c>
      <c r="C25" s="886"/>
      <c r="D25" s="886"/>
      <c r="E25" s="886"/>
      <c r="G25" s="791">
        <v>163000</v>
      </c>
      <c r="H25" s="791"/>
      <c r="I25" s="434"/>
      <c r="J25" s="435"/>
      <c r="K25" s="434"/>
      <c r="L25" s="436"/>
      <c r="M25" s="436"/>
      <c r="N25" s="435"/>
      <c r="O25" s="437"/>
      <c r="P25" s="435"/>
      <c r="Q25" s="434"/>
      <c r="R25" s="435"/>
    </row>
    <row r="26" spans="2:18" ht="21" thickBot="1">
      <c r="B26" s="886" t="s">
        <v>700</v>
      </c>
      <c r="C26" s="886"/>
      <c r="D26" s="886"/>
      <c r="E26" s="886"/>
      <c r="G26" s="791">
        <v>590000</v>
      </c>
      <c r="H26" s="791"/>
      <c r="I26" s="444"/>
      <c r="J26" s="445"/>
      <c r="K26" s="444"/>
      <c r="L26" s="446"/>
      <c r="M26" s="446"/>
      <c r="N26" s="445"/>
      <c r="O26" s="447"/>
      <c r="P26" s="445"/>
      <c r="Q26" s="444"/>
      <c r="R26" s="445"/>
    </row>
    <row r="27" spans="2:8" ht="20.25">
      <c r="B27" s="886" t="s">
        <v>701</v>
      </c>
      <c r="C27" s="886"/>
      <c r="D27" s="886"/>
      <c r="E27" s="886"/>
      <c r="G27" s="791">
        <v>498000</v>
      </c>
      <c r="H27" s="791"/>
    </row>
    <row r="28" spans="2:17" ht="20.25">
      <c r="B28" s="886" t="s">
        <v>702</v>
      </c>
      <c r="C28" s="886"/>
      <c r="D28" s="886"/>
      <c r="E28" s="886"/>
      <c r="G28" s="791">
        <v>648000</v>
      </c>
      <c r="H28" s="791"/>
      <c r="J28" s="448" t="s">
        <v>703</v>
      </c>
      <c r="K28" s="431"/>
      <c r="L28" s="431"/>
      <c r="O28" s="448" t="s">
        <v>704</v>
      </c>
      <c r="P28" s="431"/>
      <c r="Q28" s="431"/>
    </row>
    <row r="29" spans="2:17" ht="20.25">
      <c r="B29" s="790" t="s">
        <v>705</v>
      </c>
      <c r="C29" s="790"/>
      <c r="D29" s="790"/>
      <c r="E29" s="790"/>
      <c r="G29" s="791">
        <v>298000</v>
      </c>
      <c r="H29" s="791"/>
      <c r="J29" s="431" t="s">
        <v>706</v>
      </c>
      <c r="K29" s="431"/>
      <c r="L29" s="431"/>
      <c r="O29" s="431" t="s">
        <v>706</v>
      </c>
      <c r="P29" s="431"/>
      <c r="Q29" s="431"/>
    </row>
    <row r="30" spans="2:17" ht="20.25">
      <c r="B30" s="790" t="s">
        <v>707</v>
      </c>
      <c r="C30" s="790"/>
      <c r="D30" s="790"/>
      <c r="E30" s="790"/>
      <c r="G30" s="791">
        <v>70000</v>
      </c>
      <c r="H30" s="791"/>
      <c r="J30" s="431" t="s">
        <v>708</v>
      </c>
      <c r="K30" s="431"/>
      <c r="L30" s="431"/>
      <c r="O30" s="431" t="s">
        <v>709</v>
      </c>
      <c r="P30" s="431"/>
      <c r="Q30" s="431"/>
    </row>
    <row r="31" spans="2:18" ht="20.25">
      <c r="B31" s="790"/>
      <c r="C31" s="790"/>
      <c r="D31" s="790"/>
      <c r="E31" s="790"/>
      <c r="G31" s="791"/>
      <c r="H31" s="791"/>
      <c r="J31" s="431" t="s">
        <v>710</v>
      </c>
      <c r="K31" s="431"/>
      <c r="L31" s="431"/>
      <c r="N31" s="431" t="s">
        <v>711</v>
      </c>
      <c r="O31" s="431"/>
      <c r="P31" s="431"/>
      <c r="Q31" s="431"/>
      <c r="R31" s="431"/>
    </row>
    <row r="32" spans="2:8" ht="21" thickBot="1">
      <c r="B32" s="449"/>
      <c r="C32" s="449"/>
      <c r="D32" s="449"/>
      <c r="E32" s="439" t="s">
        <v>528</v>
      </c>
      <c r="G32" s="799">
        <f>SUM(G17:G31)</f>
        <v>3791621.74</v>
      </c>
      <c r="H32" s="799"/>
    </row>
    <row r="33" spans="1:16" ht="30.75" thickTop="1">
      <c r="A33" s="862" t="s">
        <v>30</v>
      </c>
      <c r="B33" s="862"/>
      <c r="C33" s="862"/>
      <c r="D33" s="862"/>
      <c r="E33" s="862"/>
      <c r="F33" s="862"/>
      <c r="G33" s="862"/>
      <c r="H33" s="862"/>
      <c r="I33" s="862"/>
      <c r="J33" s="862"/>
      <c r="K33" s="862"/>
      <c r="L33" s="862"/>
      <c r="M33" s="862"/>
      <c r="N33" s="862"/>
      <c r="O33" s="862"/>
      <c r="P33" s="862"/>
    </row>
    <row r="34" spans="1:16" ht="30">
      <c r="A34" s="862" t="s">
        <v>712</v>
      </c>
      <c r="B34" s="862"/>
      <c r="C34" s="862"/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  <c r="P34" s="862"/>
    </row>
    <row r="35" spans="1:16" ht="26.25">
      <c r="A35" s="863" t="s">
        <v>674</v>
      </c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</row>
    <row r="36" spans="1:16" ht="26.25">
      <c r="A36" s="863" t="s">
        <v>713</v>
      </c>
      <c r="B36" s="863"/>
      <c r="C36" s="863"/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63"/>
      <c r="P36" s="863"/>
    </row>
    <row r="37" spans="9:16" ht="20.25">
      <c r="I37" s="431"/>
      <c r="J37" s="431"/>
      <c r="K37" s="431"/>
      <c r="L37" s="431"/>
      <c r="M37" s="431"/>
      <c r="N37" s="431"/>
      <c r="O37" s="431"/>
      <c r="P37" s="431"/>
    </row>
    <row r="38" spans="9:16" ht="20.25">
      <c r="I38" s="431"/>
      <c r="J38" s="431"/>
      <c r="K38" s="431"/>
      <c r="L38" s="431"/>
      <c r="M38" s="431"/>
      <c r="N38" s="431"/>
      <c r="O38" s="431"/>
      <c r="P38" s="431"/>
    </row>
    <row r="39" spans="1:16" ht="20.25">
      <c r="A39" s="775" t="s">
        <v>686</v>
      </c>
      <c r="B39" s="785"/>
      <c r="C39" s="777" t="s">
        <v>675</v>
      </c>
      <c r="D39" s="778"/>
      <c r="E39" s="777" t="s">
        <v>676</v>
      </c>
      <c r="F39" s="778"/>
      <c r="G39" s="777" t="s">
        <v>687</v>
      </c>
      <c r="H39" s="778"/>
      <c r="I39" s="775"/>
      <c r="J39" s="785"/>
      <c r="K39" s="777"/>
      <c r="L39" s="778"/>
      <c r="M39" s="777"/>
      <c r="N39" s="778"/>
      <c r="O39" s="777"/>
      <c r="P39" s="778"/>
    </row>
    <row r="40" spans="1:16" ht="20.25">
      <c r="A40" s="431" t="s">
        <v>688</v>
      </c>
      <c r="C40" s="781">
        <v>238.9</v>
      </c>
      <c r="D40" s="782"/>
      <c r="E40" s="783" t="s">
        <v>27</v>
      </c>
      <c r="F40" s="784"/>
      <c r="G40" s="781">
        <v>20678.4</v>
      </c>
      <c r="H40" s="782"/>
      <c r="I40" s="431"/>
      <c r="J40" s="431"/>
      <c r="K40" s="781"/>
      <c r="L40" s="782"/>
      <c r="M40" s="783"/>
      <c r="N40" s="784"/>
      <c r="O40" s="781"/>
      <c r="P40" s="782"/>
    </row>
    <row r="41" spans="1:16" ht="20.25">
      <c r="A41" s="431" t="s">
        <v>714</v>
      </c>
      <c r="C41" s="765">
        <v>29807.41</v>
      </c>
      <c r="D41" s="766"/>
      <c r="E41" s="765">
        <v>55921.97</v>
      </c>
      <c r="F41" s="766"/>
      <c r="G41" s="765">
        <v>0</v>
      </c>
      <c r="H41" s="766"/>
      <c r="I41" s="431"/>
      <c r="J41" s="431"/>
      <c r="K41" s="440"/>
      <c r="L41" s="451"/>
      <c r="M41" s="441"/>
      <c r="N41" s="450"/>
      <c r="O41" s="440"/>
      <c r="P41" s="451"/>
    </row>
    <row r="42" spans="1:16" ht="20.25">
      <c r="A42" s="431" t="s">
        <v>715</v>
      </c>
      <c r="C42" s="765">
        <v>42075</v>
      </c>
      <c r="D42" s="766"/>
      <c r="E42" s="765">
        <v>58348</v>
      </c>
      <c r="F42" s="766"/>
      <c r="G42" s="765">
        <v>0</v>
      </c>
      <c r="H42" s="766"/>
      <c r="I42" s="431"/>
      <c r="J42" s="431"/>
      <c r="K42" s="440"/>
      <c r="L42" s="451"/>
      <c r="M42" s="441"/>
      <c r="N42" s="450"/>
      <c r="O42" s="440"/>
      <c r="P42" s="451"/>
    </row>
    <row r="43" spans="1:16" ht="20.25">
      <c r="A43" s="431" t="s">
        <v>690</v>
      </c>
      <c r="C43" s="769">
        <v>31290</v>
      </c>
      <c r="D43" s="770"/>
      <c r="E43" s="765">
        <v>243976</v>
      </c>
      <c r="F43" s="766"/>
      <c r="G43" s="769">
        <v>850127</v>
      </c>
      <c r="H43" s="770"/>
      <c r="I43" s="431"/>
      <c r="J43" s="431"/>
      <c r="K43" s="769"/>
      <c r="L43" s="770"/>
      <c r="M43" s="765"/>
      <c r="N43" s="766"/>
      <c r="O43" s="765"/>
      <c r="P43" s="766"/>
    </row>
    <row r="44" spans="1:16" ht="20.25">
      <c r="A44" s="431" t="s">
        <v>716</v>
      </c>
      <c r="C44" s="769"/>
      <c r="D44" s="770"/>
      <c r="E44" s="765">
        <v>0</v>
      </c>
      <c r="F44" s="766"/>
      <c r="G44" s="769">
        <v>3630</v>
      </c>
      <c r="H44" s="770"/>
      <c r="I44" s="431"/>
      <c r="J44" s="431"/>
      <c r="K44" s="769"/>
      <c r="L44" s="770"/>
      <c r="M44" s="765"/>
      <c r="N44" s="766"/>
      <c r="O44" s="769"/>
      <c r="P44" s="770"/>
    </row>
    <row r="45" spans="1:16" ht="20.25">
      <c r="A45" s="431" t="s">
        <v>717</v>
      </c>
      <c r="C45" s="769">
        <v>40800</v>
      </c>
      <c r="D45" s="770"/>
      <c r="E45" s="765"/>
      <c r="F45" s="766"/>
      <c r="G45" s="878">
        <v>40800</v>
      </c>
      <c r="H45" s="887"/>
      <c r="I45" s="431"/>
      <c r="J45" s="431"/>
      <c r="K45" s="769"/>
      <c r="L45" s="770"/>
      <c r="M45" s="765"/>
      <c r="N45" s="766"/>
      <c r="O45" s="878"/>
      <c r="P45" s="887"/>
    </row>
    <row r="46" spans="1:16" ht="20.25">
      <c r="A46" s="431" t="s">
        <v>718</v>
      </c>
      <c r="C46" s="779">
        <v>290400</v>
      </c>
      <c r="D46" s="780"/>
      <c r="E46" s="757"/>
      <c r="F46" s="758"/>
      <c r="G46" s="757">
        <v>290400</v>
      </c>
      <c r="H46" s="758"/>
      <c r="I46" s="431"/>
      <c r="J46" s="431"/>
      <c r="K46" s="779"/>
      <c r="L46" s="780"/>
      <c r="M46" s="757"/>
      <c r="N46" s="758"/>
      <c r="O46" s="757"/>
      <c r="P46" s="758"/>
    </row>
    <row r="47" spans="2:16" ht="21" thickBot="1">
      <c r="B47" s="439" t="s">
        <v>34</v>
      </c>
      <c r="C47" s="763">
        <f>SUM(C40:D46)</f>
        <v>434611.31</v>
      </c>
      <c r="D47" s="764"/>
      <c r="E47" s="763">
        <f>SUM(E40:F46)</f>
        <v>358245.97</v>
      </c>
      <c r="F47" s="764"/>
      <c r="G47" s="763">
        <f>SUM(G40:H46)</f>
        <v>1205635.4</v>
      </c>
      <c r="H47" s="764"/>
      <c r="I47" s="431"/>
      <c r="J47" s="439"/>
      <c r="K47" s="763"/>
      <c r="L47" s="764"/>
      <c r="M47" s="763"/>
      <c r="N47" s="764"/>
      <c r="O47" s="763"/>
      <c r="P47" s="764"/>
    </row>
    <row r="48" spans="2:16" ht="21" thickTop="1">
      <c r="B48" s="442" t="s">
        <v>691</v>
      </c>
      <c r="I48" s="431"/>
      <c r="J48" s="442"/>
      <c r="K48" s="431"/>
      <c r="L48" s="431"/>
      <c r="M48" s="431"/>
      <c r="N48" s="431"/>
      <c r="O48" s="431"/>
      <c r="P48" s="431"/>
    </row>
    <row r="49" spans="2:16" ht="20.25">
      <c r="B49" s="442" t="s">
        <v>692</v>
      </c>
      <c r="G49" s="787" t="s">
        <v>693</v>
      </c>
      <c r="H49" s="787"/>
      <c r="I49" s="431"/>
      <c r="J49" s="442"/>
      <c r="K49" s="431"/>
      <c r="L49" s="431"/>
      <c r="M49" s="431"/>
      <c r="N49" s="431"/>
      <c r="O49" s="787"/>
      <c r="P49" s="787"/>
    </row>
    <row r="50" spans="2:16" ht="20.25">
      <c r="B50" s="788" t="s">
        <v>77</v>
      </c>
      <c r="C50" s="788"/>
      <c r="D50" s="788"/>
      <c r="G50" s="789"/>
      <c r="H50" s="789"/>
      <c r="I50" s="431"/>
      <c r="J50" s="788"/>
      <c r="K50" s="788"/>
      <c r="L50" s="788"/>
      <c r="M50" s="431"/>
      <c r="N50" s="431"/>
      <c r="O50" s="789"/>
      <c r="P50" s="789"/>
    </row>
    <row r="51" spans="2:16" ht="20.25">
      <c r="B51" s="790" t="s">
        <v>694</v>
      </c>
      <c r="C51" s="790"/>
      <c r="D51" s="790"/>
      <c r="G51" s="791">
        <v>0</v>
      </c>
      <c r="H51" s="791"/>
      <c r="I51" s="431"/>
      <c r="J51" s="790"/>
      <c r="K51" s="790"/>
      <c r="L51" s="790"/>
      <c r="M51" s="431"/>
      <c r="N51" s="431"/>
      <c r="O51" s="791"/>
      <c r="P51" s="791"/>
    </row>
    <row r="52" spans="2:16" ht="20.25">
      <c r="B52" s="793" t="s">
        <v>76</v>
      </c>
      <c r="C52" s="793"/>
      <c r="D52" s="793"/>
      <c r="G52" s="791"/>
      <c r="H52" s="791"/>
      <c r="I52" s="431"/>
      <c r="J52" s="793"/>
      <c r="K52" s="793"/>
      <c r="L52" s="793"/>
      <c r="M52" s="431"/>
      <c r="N52" s="431"/>
      <c r="O52" s="791"/>
      <c r="P52" s="791"/>
    </row>
    <row r="53" spans="2:16" ht="20.25">
      <c r="B53" s="790" t="s">
        <v>719</v>
      </c>
      <c r="C53" s="790"/>
      <c r="D53" s="790"/>
      <c r="G53" s="791">
        <v>99000</v>
      </c>
      <c r="H53" s="791"/>
      <c r="I53" s="431"/>
      <c r="J53" s="790"/>
      <c r="K53" s="790"/>
      <c r="L53" s="790"/>
      <c r="M53" s="431"/>
      <c r="N53" s="431"/>
      <c r="O53" s="791"/>
      <c r="P53" s="791"/>
    </row>
    <row r="54" spans="2:16" ht="20.25">
      <c r="B54" s="792" t="s">
        <v>55</v>
      </c>
      <c r="C54" s="790"/>
      <c r="D54" s="790"/>
      <c r="G54" s="791">
        <v>0</v>
      </c>
      <c r="H54" s="791"/>
      <c r="I54" s="431"/>
      <c r="J54" s="790"/>
      <c r="K54" s="790"/>
      <c r="L54" s="790"/>
      <c r="M54" s="431"/>
      <c r="N54" s="431"/>
      <c r="O54" s="791"/>
      <c r="P54" s="791"/>
    </row>
    <row r="55" spans="2:16" ht="20.25">
      <c r="B55" s="797" t="s">
        <v>720</v>
      </c>
      <c r="C55" s="797"/>
      <c r="D55" s="797"/>
      <c r="G55" s="791">
        <v>38000</v>
      </c>
      <c r="H55" s="791"/>
      <c r="I55" s="431"/>
      <c r="J55" s="797"/>
      <c r="K55" s="797"/>
      <c r="L55" s="797"/>
      <c r="M55" s="431"/>
      <c r="N55" s="431"/>
      <c r="O55" s="791"/>
      <c r="P55" s="791"/>
    </row>
    <row r="56" spans="2:16" ht="20.25">
      <c r="B56" s="443" t="s">
        <v>721</v>
      </c>
      <c r="C56" s="443"/>
      <c r="D56" s="443"/>
      <c r="G56" s="791">
        <v>99000</v>
      </c>
      <c r="H56" s="791"/>
      <c r="I56" s="431"/>
      <c r="J56" s="452"/>
      <c r="K56" s="443"/>
      <c r="L56" s="443"/>
      <c r="M56" s="431"/>
      <c r="N56" s="431"/>
      <c r="O56" s="791"/>
      <c r="P56" s="791"/>
    </row>
    <row r="57" spans="2:16" ht="20.25">
      <c r="B57" s="794" t="s">
        <v>722</v>
      </c>
      <c r="C57" s="794"/>
      <c r="D57" s="794"/>
      <c r="G57" s="791">
        <v>50000</v>
      </c>
      <c r="H57" s="791"/>
      <c r="I57" s="431"/>
      <c r="J57" s="794"/>
      <c r="K57" s="794"/>
      <c r="L57" s="794"/>
      <c r="M57" s="431"/>
      <c r="N57" s="431"/>
      <c r="O57" s="791"/>
      <c r="P57" s="791"/>
    </row>
    <row r="58" spans="2:16" ht="20.25">
      <c r="B58" s="795" t="s">
        <v>723</v>
      </c>
      <c r="C58" s="796"/>
      <c r="D58" s="796"/>
      <c r="E58" s="796"/>
      <c r="G58" s="791">
        <v>18400</v>
      </c>
      <c r="H58" s="791"/>
      <c r="I58" s="431"/>
      <c r="J58" s="796"/>
      <c r="K58" s="796"/>
      <c r="L58" s="796"/>
      <c r="M58" s="796"/>
      <c r="N58" s="431"/>
      <c r="O58" s="791"/>
      <c r="P58" s="791"/>
    </row>
    <row r="59" spans="2:16" ht="20.25">
      <c r="B59" s="790" t="s">
        <v>724</v>
      </c>
      <c r="C59" s="790"/>
      <c r="D59" s="790"/>
      <c r="E59" s="790"/>
      <c r="G59" s="791">
        <v>50000</v>
      </c>
      <c r="H59" s="791"/>
      <c r="I59" s="431"/>
      <c r="J59" s="790"/>
      <c r="K59" s="790"/>
      <c r="L59" s="790"/>
      <c r="M59" s="790"/>
      <c r="N59" s="431"/>
      <c r="O59" s="791"/>
      <c r="P59" s="791"/>
    </row>
    <row r="60" spans="2:16" ht="20.25">
      <c r="B60" s="790"/>
      <c r="C60" s="790"/>
      <c r="D60" s="790"/>
      <c r="E60" s="790"/>
      <c r="G60" s="791">
        <v>0</v>
      </c>
      <c r="H60" s="791"/>
      <c r="I60" s="431"/>
      <c r="J60" s="790"/>
      <c r="K60" s="790"/>
      <c r="L60" s="790"/>
      <c r="M60" s="790"/>
      <c r="N60" s="431"/>
      <c r="O60" s="791"/>
      <c r="P60" s="791"/>
    </row>
    <row r="61" spans="2:16" ht="20.25">
      <c r="B61" s="790"/>
      <c r="C61" s="790"/>
      <c r="D61" s="790"/>
      <c r="E61" s="790"/>
      <c r="G61" s="791">
        <v>0</v>
      </c>
      <c r="H61" s="791"/>
      <c r="I61" s="431"/>
      <c r="J61" s="790"/>
      <c r="K61" s="790"/>
      <c r="L61" s="790"/>
      <c r="M61" s="790"/>
      <c r="N61" s="431"/>
      <c r="O61" s="791"/>
      <c r="P61" s="791"/>
    </row>
    <row r="62" spans="2:16" ht="20.25">
      <c r="B62" s="790"/>
      <c r="C62" s="790"/>
      <c r="D62" s="790"/>
      <c r="E62" s="790"/>
      <c r="G62" s="791">
        <v>0</v>
      </c>
      <c r="H62" s="791"/>
      <c r="I62" s="431"/>
      <c r="J62" s="790"/>
      <c r="K62" s="790"/>
      <c r="L62" s="790"/>
      <c r="M62" s="790"/>
      <c r="N62" s="431"/>
      <c r="O62" s="791"/>
      <c r="P62" s="791"/>
    </row>
    <row r="63" spans="2:16" ht="20.25">
      <c r="B63" s="790"/>
      <c r="C63" s="790"/>
      <c r="D63" s="790"/>
      <c r="E63" s="790"/>
      <c r="G63" s="791">
        <v>0</v>
      </c>
      <c r="H63" s="791"/>
      <c r="I63" s="431"/>
      <c r="J63" s="790"/>
      <c r="K63" s="790"/>
      <c r="L63" s="790"/>
      <c r="M63" s="790"/>
      <c r="N63" s="431"/>
      <c r="O63" s="791"/>
      <c r="P63" s="791"/>
    </row>
    <row r="64" spans="2:16" ht="20.25">
      <c r="B64" s="790"/>
      <c r="C64" s="790"/>
      <c r="D64" s="790"/>
      <c r="E64" s="790"/>
      <c r="G64" s="791">
        <v>0</v>
      </c>
      <c r="H64" s="791"/>
      <c r="I64" s="431"/>
      <c r="J64" s="790"/>
      <c r="K64" s="790"/>
      <c r="L64" s="790"/>
      <c r="M64" s="790"/>
      <c r="N64" s="431"/>
      <c r="O64" s="791"/>
      <c r="P64" s="791"/>
    </row>
    <row r="65" spans="2:16" ht="20.25">
      <c r="B65" s="790"/>
      <c r="C65" s="790"/>
      <c r="D65" s="790"/>
      <c r="E65" s="790"/>
      <c r="G65" s="798"/>
      <c r="H65" s="798"/>
      <c r="I65" s="431"/>
      <c r="J65" s="790"/>
      <c r="K65" s="790"/>
      <c r="L65" s="790"/>
      <c r="M65" s="790"/>
      <c r="N65" s="431"/>
      <c r="O65" s="798"/>
      <c r="P65" s="798"/>
    </row>
    <row r="66" spans="2:16" ht="21" thickBot="1">
      <c r="B66" s="449"/>
      <c r="C66" s="449"/>
      <c r="D66" s="449"/>
      <c r="E66" s="439" t="s">
        <v>528</v>
      </c>
      <c r="G66" s="799">
        <f>SUM(G51:G65)</f>
        <v>354400</v>
      </c>
      <c r="H66" s="799"/>
      <c r="I66" s="431"/>
      <c r="J66" s="449"/>
      <c r="K66" s="449"/>
      <c r="L66" s="449"/>
      <c r="M66" s="439"/>
      <c r="N66" s="431"/>
      <c r="O66" s="799"/>
      <c r="P66" s="799"/>
    </row>
    <row r="67" spans="2:16" ht="21" thickTop="1">
      <c r="B67" s="453"/>
      <c r="C67" s="453"/>
      <c r="D67" s="453"/>
      <c r="E67" s="439"/>
      <c r="G67" s="454"/>
      <c r="H67" s="454"/>
      <c r="I67" s="431"/>
      <c r="J67" s="453"/>
      <c r="K67" s="453"/>
      <c r="L67" s="453"/>
      <c r="M67" s="439"/>
      <c r="N67" s="431"/>
      <c r="O67" s="454"/>
      <c r="P67" s="454"/>
    </row>
    <row r="68" spans="2:16" ht="20.25">
      <c r="B68" s="453"/>
      <c r="C68" s="453"/>
      <c r="D68" s="453"/>
      <c r="E68" s="439"/>
      <c r="G68" s="454"/>
      <c r="H68" s="454"/>
      <c r="I68" s="431"/>
      <c r="J68" s="453"/>
      <c r="K68" s="453"/>
      <c r="L68" s="453"/>
      <c r="M68" s="439"/>
      <c r="N68" s="431"/>
      <c r="O68" s="454"/>
      <c r="P68" s="454"/>
    </row>
    <row r="69" spans="2:16" ht="20.25">
      <c r="B69" s="453"/>
      <c r="C69" s="453"/>
      <c r="D69" s="453"/>
      <c r="E69" s="439"/>
      <c r="G69" s="454"/>
      <c r="H69" s="454"/>
      <c r="I69" s="431"/>
      <c r="J69" s="453"/>
      <c r="K69" s="453"/>
      <c r="L69" s="453"/>
      <c r="M69" s="439"/>
      <c r="N69" s="431"/>
      <c r="O69" s="454"/>
      <c r="P69" s="454"/>
    </row>
    <row r="70" spans="1:18" ht="30">
      <c r="A70" s="862" t="s">
        <v>71</v>
      </c>
      <c r="B70" s="862"/>
      <c r="C70" s="862"/>
      <c r="D70" s="862"/>
      <c r="E70" s="862"/>
      <c r="F70" s="862"/>
      <c r="G70" s="862"/>
      <c r="H70" s="862"/>
      <c r="I70" s="863" t="s">
        <v>71</v>
      </c>
      <c r="J70" s="864"/>
      <c r="K70" s="864"/>
      <c r="L70" s="864"/>
      <c r="M70" s="864"/>
      <c r="N70" s="864"/>
      <c r="O70" s="864"/>
      <c r="P70" s="864"/>
      <c r="Q70" s="864"/>
      <c r="R70" s="864"/>
    </row>
    <row r="71" spans="1:18" ht="30">
      <c r="A71" s="862" t="s">
        <v>677</v>
      </c>
      <c r="B71" s="862"/>
      <c r="C71" s="862"/>
      <c r="D71" s="862"/>
      <c r="E71" s="862"/>
      <c r="F71" s="862"/>
      <c r="G71" s="862"/>
      <c r="H71" s="862"/>
      <c r="I71" s="863" t="s">
        <v>678</v>
      </c>
      <c r="J71" s="863"/>
      <c r="K71" s="863"/>
      <c r="L71" s="863"/>
      <c r="M71" s="863"/>
      <c r="N71" s="863"/>
      <c r="O71" s="863"/>
      <c r="P71" s="863"/>
      <c r="Q71" s="863"/>
      <c r="R71" s="863"/>
    </row>
    <row r="72" spans="1:18" ht="27" thickBot="1">
      <c r="A72" s="863" t="s">
        <v>674</v>
      </c>
      <c r="B72" s="863"/>
      <c r="C72" s="863"/>
      <c r="D72" s="863"/>
      <c r="E72" s="863"/>
      <c r="F72" s="863"/>
      <c r="G72" s="863"/>
      <c r="H72" s="863"/>
      <c r="I72" s="863" t="s">
        <v>725</v>
      </c>
      <c r="J72" s="863"/>
      <c r="K72" s="863"/>
      <c r="L72" s="863"/>
      <c r="M72" s="863"/>
      <c r="N72" s="863"/>
      <c r="O72" s="863"/>
      <c r="P72" s="863"/>
      <c r="Q72" s="863"/>
      <c r="R72" s="863"/>
    </row>
    <row r="73" spans="1:18" ht="27" thickBot="1">
      <c r="A73" s="863" t="s">
        <v>726</v>
      </c>
      <c r="B73" s="863"/>
      <c r="C73" s="863"/>
      <c r="D73" s="863"/>
      <c r="E73" s="863"/>
      <c r="F73" s="863"/>
      <c r="G73" s="863"/>
      <c r="H73" s="863"/>
      <c r="I73" s="865" t="s">
        <v>681</v>
      </c>
      <c r="J73" s="866"/>
      <c r="K73" s="865" t="s">
        <v>213</v>
      </c>
      <c r="L73" s="867"/>
      <c r="M73" s="867"/>
      <c r="N73" s="866"/>
      <c r="O73" s="865" t="s">
        <v>682</v>
      </c>
      <c r="P73" s="866"/>
      <c r="Q73" s="865" t="s">
        <v>153</v>
      </c>
      <c r="R73" s="866"/>
    </row>
    <row r="74" spans="9:18" ht="20.25">
      <c r="I74" s="868">
        <v>1</v>
      </c>
      <c r="J74" s="869"/>
      <c r="K74" s="870" t="s">
        <v>683</v>
      </c>
      <c r="L74" s="871"/>
      <c r="M74" s="871"/>
      <c r="N74" s="872"/>
      <c r="O74" s="432" t="s">
        <v>727</v>
      </c>
      <c r="P74" s="433" t="s">
        <v>685</v>
      </c>
      <c r="Q74" s="434"/>
      <c r="R74" s="435"/>
    </row>
    <row r="75" spans="9:18" ht="20.25">
      <c r="I75" s="434"/>
      <c r="J75" s="435"/>
      <c r="K75" s="434"/>
      <c r="L75" s="436"/>
      <c r="M75" s="436"/>
      <c r="N75" s="435"/>
      <c r="O75" s="437"/>
      <c r="P75" s="435"/>
      <c r="Q75" s="434"/>
      <c r="R75" s="435"/>
    </row>
    <row r="76" spans="1:18" ht="20.25">
      <c r="A76" s="775" t="s">
        <v>686</v>
      </c>
      <c r="B76" s="785"/>
      <c r="C76" s="777" t="s">
        <v>675</v>
      </c>
      <c r="D76" s="778"/>
      <c r="E76" s="777" t="s">
        <v>676</v>
      </c>
      <c r="F76" s="778"/>
      <c r="G76" s="777" t="s">
        <v>687</v>
      </c>
      <c r="H76" s="778"/>
      <c r="I76" s="436"/>
      <c r="J76" s="435"/>
      <c r="K76" s="434"/>
      <c r="L76" s="436"/>
      <c r="M76" s="436"/>
      <c r="N76" s="435"/>
      <c r="O76" s="437"/>
      <c r="P76" s="435"/>
      <c r="Q76" s="434"/>
      <c r="R76" s="435"/>
    </row>
    <row r="77" spans="1:18" ht="20.25">
      <c r="A77" s="431" t="s">
        <v>688</v>
      </c>
      <c r="C77" s="781">
        <v>151.85</v>
      </c>
      <c r="D77" s="782"/>
      <c r="E77" s="783">
        <v>0</v>
      </c>
      <c r="F77" s="784"/>
      <c r="G77" s="781">
        <v>19697.28</v>
      </c>
      <c r="H77" s="782"/>
      <c r="I77" s="436"/>
      <c r="J77" s="435"/>
      <c r="K77" s="434"/>
      <c r="L77" s="436"/>
      <c r="M77" s="436"/>
      <c r="N77" s="435"/>
      <c r="O77" s="437"/>
      <c r="P77" s="435"/>
      <c r="Q77" s="434"/>
      <c r="R77" s="435"/>
    </row>
    <row r="78" spans="1:18" ht="20.25">
      <c r="A78" s="431" t="s">
        <v>689</v>
      </c>
      <c r="C78" s="769">
        <v>34874.67</v>
      </c>
      <c r="D78" s="770"/>
      <c r="E78" s="765">
        <v>1457.4</v>
      </c>
      <c r="F78" s="766"/>
      <c r="G78" s="765">
        <v>34874.67</v>
      </c>
      <c r="H78" s="766"/>
      <c r="I78" s="436"/>
      <c r="J78" s="435"/>
      <c r="K78" s="434"/>
      <c r="L78" s="436"/>
      <c r="M78" s="436"/>
      <c r="N78" s="435"/>
      <c r="O78" s="437"/>
      <c r="P78" s="435"/>
      <c r="Q78" s="434"/>
      <c r="R78" s="435"/>
    </row>
    <row r="79" spans="1:18" ht="20.25">
      <c r="A79" s="431" t="s">
        <v>690</v>
      </c>
      <c r="C79" s="769">
        <v>20880</v>
      </c>
      <c r="D79" s="770"/>
      <c r="E79" s="765">
        <v>20725</v>
      </c>
      <c r="F79" s="766"/>
      <c r="G79" s="769">
        <v>513171</v>
      </c>
      <c r="H79" s="770"/>
      <c r="I79" s="436"/>
      <c r="J79" s="435"/>
      <c r="K79" s="434"/>
      <c r="L79" s="436"/>
      <c r="M79" s="436"/>
      <c r="N79" s="435"/>
      <c r="O79" s="437"/>
      <c r="P79" s="435"/>
      <c r="Q79" s="434"/>
      <c r="R79" s="435"/>
    </row>
    <row r="80" spans="3:18" ht="20.25">
      <c r="C80" s="769">
        <v>0</v>
      </c>
      <c r="D80" s="770"/>
      <c r="E80" s="765"/>
      <c r="F80" s="766"/>
      <c r="G80" s="878">
        <v>0</v>
      </c>
      <c r="H80" s="887"/>
      <c r="I80" s="436"/>
      <c r="J80" s="435"/>
      <c r="K80" s="434"/>
      <c r="L80" s="436"/>
      <c r="M80" s="436"/>
      <c r="N80" s="435"/>
      <c r="O80" s="437"/>
      <c r="P80" s="435"/>
      <c r="Q80" s="434"/>
      <c r="R80" s="435"/>
    </row>
    <row r="81" spans="3:18" ht="20.25">
      <c r="C81" s="779">
        <v>0</v>
      </c>
      <c r="D81" s="780"/>
      <c r="E81" s="757"/>
      <c r="F81" s="758"/>
      <c r="G81" s="757">
        <v>0</v>
      </c>
      <c r="H81" s="758"/>
      <c r="I81" s="436"/>
      <c r="J81" s="435"/>
      <c r="K81" s="434"/>
      <c r="L81" s="436"/>
      <c r="M81" s="436"/>
      <c r="N81" s="435"/>
      <c r="O81" s="437"/>
      <c r="P81" s="435"/>
      <c r="Q81" s="434"/>
      <c r="R81" s="435"/>
    </row>
    <row r="82" spans="2:18" ht="21" thickBot="1">
      <c r="B82" s="439" t="s">
        <v>34</v>
      </c>
      <c r="C82" s="763">
        <f>SUM(C77:D81)</f>
        <v>55906.52</v>
      </c>
      <c r="D82" s="764"/>
      <c r="E82" s="763">
        <f>SUM(E77:F81)</f>
        <v>22182.4</v>
      </c>
      <c r="F82" s="764"/>
      <c r="G82" s="763">
        <f>SUM(G77:H81)</f>
        <v>567742.95</v>
      </c>
      <c r="H82" s="764"/>
      <c r="I82" s="436"/>
      <c r="J82" s="435"/>
      <c r="K82" s="434"/>
      <c r="L82" s="436"/>
      <c r="M82" s="436"/>
      <c r="N82" s="435"/>
      <c r="O82" s="437"/>
      <c r="P82" s="435"/>
      <c r="Q82" s="434"/>
      <c r="R82" s="435"/>
    </row>
    <row r="83" spans="2:18" ht="21" thickTop="1">
      <c r="B83" s="442" t="s">
        <v>691</v>
      </c>
      <c r="I83" s="434"/>
      <c r="J83" s="435"/>
      <c r="K83" s="434"/>
      <c r="L83" s="436"/>
      <c r="M83" s="436"/>
      <c r="N83" s="435"/>
      <c r="O83" s="437"/>
      <c r="P83" s="435"/>
      <c r="Q83" s="434"/>
      <c r="R83" s="435"/>
    </row>
    <row r="84" spans="2:18" ht="20.25">
      <c r="B84" s="442" t="s">
        <v>692</v>
      </c>
      <c r="G84" s="787" t="s">
        <v>693</v>
      </c>
      <c r="H84" s="787"/>
      <c r="I84" s="434"/>
      <c r="J84" s="435"/>
      <c r="K84" s="434"/>
      <c r="L84" s="436"/>
      <c r="M84" s="436"/>
      <c r="N84" s="435"/>
      <c r="O84" s="437"/>
      <c r="P84" s="435"/>
      <c r="Q84" s="434"/>
      <c r="R84" s="435"/>
    </row>
    <row r="85" spans="2:18" ht="20.25">
      <c r="B85" s="788" t="s">
        <v>77</v>
      </c>
      <c r="C85" s="788"/>
      <c r="D85" s="788"/>
      <c r="G85" s="789"/>
      <c r="H85" s="789"/>
      <c r="I85" s="434"/>
      <c r="J85" s="435"/>
      <c r="K85" s="434"/>
      <c r="L85" s="436"/>
      <c r="M85" s="436"/>
      <c r="N85" s="435"/>
      <c r="O85" s="437"/>
      <c r="P85" s="435"/>
      <c r="Q85" s="434"/>
      <c r="R85" s="435"/>
    </row>
    <row r="86" spans="2:18" ht="20.25">
      <c r="B86" s="790" t="s">
        <v>694</v>
      </c>
      <c r="C86" s="790"/>
      <c r="D86" s="790"/>
      <c r="G86" s="791">
        <v>1480365.99</v>
      </c>
      <c r="H86" s="791"/>
      <c r="I86" s="434"/>
      <c r="J86" s="435"/>
      <c r="K86" s="434"/>
      <c r="L86" s="436"/>
      <c r="M86" s="436"/>
      <c r="N86" s="435"/>
      <c r="O86" s="437"/>
      <c r="P86" s="435"/>
      <c r="Q86" s="434"/>
      <c r="R86" s="435"/>
    </row>
    <row r="87" spans="2:18" ht="20.25">
      <c r="B87" s="793" t="s">
        <v>76</v>
      </c>
      <c r="C87" s="793"/>
      <c r="D87" s="793"/>
      <c r="G87" s="791"/>
      <c r="H87" s="791"/>
      <c r="I87" s="434"/>
      <c r="J87" s="435"/>
      <c r="K87" s="434"/>
      <c r="L87" s="436"/>
      <c r="M87" s="436"/>
      <c r="N87" s="435"/>
      <c r="O87" s="437"/>
      <c r="P87" s="435"/>
      <c r="Q87" s="434"/>
      <c r="R87" s="435"/>
    </row>
    <row r="88" spans="2:18" ht="20.25">
      <c r="B88" s="790" t="s">
        <v>695</v>
      </c>
      <c r="C88" s="790"/>
      <c r="D88" s="790"/>
      <c r="G88" s="791">
        <v>24594.12</v>
      </c>
      <c r="H88" s="791"/>
      <c r="I88" s="434"/>
      <c r="J88" s="435"/>
      <c r="K88" s="434"/>
      <c r="L88" s="436"/>
      <c r="M88" s="436"/>
      <c r="N88" s="435"/>
      <c r="O88" s="437"/>
      <c r="P88" s="435"/>
      <c r="Q88" s="434"/>
      <c r="R88" s="435"/>
    </row>
    <row r="89" spans="2:18" ht="20.25">
      <c r="B89" s="790" t="s">
        <v>696</v>
      </c>
      <c r="C89" s="790"/>
      <c r="D89" s="790"/>
      <c r="G89" s="791">
        <v>12724.08</v>
      </c>
      <c r="H89" s="791"/>
      <c r="I89" s="434"/>
      <c r="J89" s="435"/>
      <c r="K89" s="434"/>
      <c r="L89" s="436"/>
      <c r="M89" s="436"/>
      <c r="N89" s="435"/>
      <c r="O89" s="437"/>
      <c r="P89" s="435"/>
      <c r="Q89" s="434"/>
      <c r="R89" s="435"/>
    </row>
    <row r="90" spans="2:18" ht="20.25">
      <c r="B90" s="797" t="s">
        <v>728</v>
      </c>
      <c r="C90" s="797"/>
      <c r="D90" s="797"/>
      <c r="G90" s="791">
        <v>10000</v>
      </c>
      <c r="H90" s="791"/>
      <c r="I90" s="434"/>
      <c r="J90" s="435"/>
      <c r="K90" s="434"/>
      <c r="L90" s="436"/>
      <c r="M90" s="436"/>
      <c r="N90" s="435"/>
      <c r="O90" s="437"/>
      <c r="P90" s="435"/>
      <c r="Q90" s="434"/>
      <c r="R90" s="435"/>
    </row>
    <row r="91" spans="2:18" ht="20.25">
      <c r="B91" s="452" t="s">
        <v>729</v>
      </c>
      <c r="C91" s="443"/>
      <c r="D91" s="443"/>
      <c r="G91" s="791">
        <v>0</v>
      </c>
      <c r="H91" s="791"/>
      <c r="I91" s="434"/>
      <c r="J91" s="435"/>
      <c r="K91" s="434"/>
      <c r="L91" s="436"/>
      <c r="M91" s="436"/>
      <c r="N91" s="435"/>
      <c r="O91" s="437"/>
      <c r="P91" s="435"/>
      <c r="Q91" s="434"/>
      <c r="R91" s="435"/>
    </row>
    <row r="92" spans="2:18" ht="20.25">
      <c r="B92" s="794" t="s">
        <v>730</v>
      </c>
      <c r="C92" s="794"/>
      <c r="D92" s="794"/>
      <c r="G92" s="791">
        <v>115776</v>
      </c>
      <c r="H92" s="791"/>
      <c r="I92" s="434"/>
      <c r="J92" s="435"/>
      <c r="K92" s="434"/>
      <c r="L92" s="436"/>
      <c r="M92" s="436"/>
      <c r="N92" s="435"/>
      <c r="O92" s="437"/>
      <c r="P92" s="435"/>
      <c r="Q92" s="434"/>
      <c r="R92" s="435"/>
    </row>
    <row r="93" spans="2:18" ht="20.25">
      <c r="B93" s="796"/>
      <c r="C93" s="796"/>
      <c r="D93" s="796"/>
      <c r="E93" s="796"/>
      <c r="G93" s="791">
        <v>0</v>
      </c>
      <c r="H93" s="791"/>
      <c r="I93" s="434"/>
      <c r="J93" s="435"/>
      <c r="K93" s="434"/>
      <c r="L93" s="436"/>
      <c r="M93" s="436"/>
      <c r="N93" s="435"/>
      <c r="O93" s="437"/>
      <c r="P93" s="435"/>
      <c r="Q93" s="434"/>
      <c r="R93" s="435"/>
    </row>
    <row r="94" spans="2:18" ht="20.25">
      <c r="B94" s="790"/>
      <c r="C94" s="790"/>
      <c r="D94" s="790"/>
      <c r="E94" s="790"/>
      <c r="G94" s="791">
        <v>0</v>
      </c>
      <c r="H94" s="791"/>
      <c r="I94" s="434"/>
      <c r="J94" s="435"/>
      <c r="K94" s="434"/>
      <c r="L94" s="436"/>
      <c r="M94" s="436"/>
      <c r="N94" s="435"/>
      <c r="O94" s="437"/>
      <c r="P94" s="435"/>
      <c r="Q94" s="434"/>
      <c r="R94" s="435"/>
    </row>
    <row r="95" spans="2:18" ht="21" thickBot="1">
      <c r="B95" s="790"/>
      <c r="C95" s="790"/>
      <c r="D95" s="790"/>
      <c r="E95" s="790"/>
      <c r="G95" s="791">
        <v>0</v>
      </c>
      <c r="H95" s="791"/>
      <c r="I95" s="444"/>
      <c r="J95" s="445"/>
      <c r="K95" s="444"/>
      <c r="L95" s="446"/>
      <c r="M95" s="446"/>
      <c r="N95" s="445"/>
      <c r="O95" s="447"/>
      <c r="P95" s="445"/>
      <c r="Q95" s="444"/>
      <c r="R95" s="445"/>
    </row>
    <row r="96" spans="2:8" ht="20.25">
      <c r="B96" s="790"/>
      <c r="C96" s="790"/>
      <c r="D96" s="790"/>
      <c r="E96" s="790"/>
      <c r="G96" s="791">
        <v>0</v>
      </c>
      <c r="H96" s="791"/>
    </row>
    <row r="97" spans="2:17" ht="20.25">
      <c r="B97" s="790"/>
      <c r="C97" s="790"/>
      <c r="D97" s="790"/>
      <c r="E97" s="790"/>
      <c r="G97" s="791">
        <v>0</v>
      </c>
      <c r="H97" s="791"/>
      <c r="J97" s="448" t="s">
        <v>703</v>
      </c>
      <c r="K97" s="431"/>
      <c r="L97" s="431"/>
      <c r="O97" s="448" t="s">
        <v>704</v>
      </c>
      <c r="P97" s="431"/>
      <c r="Q97" s="431"/>
    </row>
    <row r="98" spans="2:17" ht="20.25">
      <c r="B98" s="790"/>
      <c r="C98" s="790"/>
      <c r="D98" s="790"/>
      <c r="E98" s="790"/>
      <c r="G98" s="791">
        <v>0</v>
      </c>
      <c r="H98" s="791"/>
      <c r="J98" s="431" t="s">
        <v>706</v>
      </c>
      <c r="K98" s="431"/>
      <c r="L98" s="431"/>
      <c r="O98" s="431" t="s">
        <v>706</v>
      </c>
      <c r="P98" s="431"/>
      <c r="Q98" s="431"/>
    </row>
    <row r="99" spans="2:17" ht="20.25">
      <c r="B99" s="790"/>
      <c r="C99" s="790"/>
      <c r="D99" s="790"/>
      <c r="E99" s="790"/>
      <c r="G99" s="791">
        <v>0</v>
      </c>
      <c r="H99" s="791"/>
      <c r="J99" s="431" t="s">
        <v>708</v>
      </c>
      <c r="K99" s="431"/>
      <c r="L99" s="431"/>
      <c r="O99" s="431" t="s">
        <v>709</v>
      </c>
      <c r="P99" s="431"/>
      <c r="Q99" s="431"/>
    </row>
    <row r="100" spans="2:18" ht="20.25">
      <c r="B100" s="790"/>
      <c r="C100" s="790"/>
      <c r="D100" s="790"/>
      <c r="E100" s="790"/>
      <c r="G100" s="798"/>
      <c r="H100" s="798"/>
      <c r="J100" s="431" t="s">
        <v>710</v>
      </c>
      <c r="K100" s="431"/>
      <c r="L100" s="431"/>
      <c r="N100" s="431" t="s">
        <v>711</v>
      </c>
      <c r="O100" s="431"/>
      <c r="P100" s="431"/>
      <c r="Q100" s="431"/>
      <c r="R100" s="431"/>
    </row>
    <row r="101" spans="2:8" ht="21" thickBot="1">
      <c r="B101" s="449"/>
      <c r="C101" s="449"/>
      <c r="D101" s="449"/>
      <c r="E101" s="439" t="s">
        <v>528</v>
      </c>
      <c r="G101" s="799">
        <f>SUM(G86:G100)</f>
        <v>1643460.1900000002</v>
      </c>
      <c r="H101" s="799"/>
    </row>
    <row r="102" ht="21" thickTop="1"/>
  </sheetData>
  <sheetProtection/>
  <mergeCells count="260">
    <mergeCell ref="B99:E99"/>
    <mergeCell ref="G99:H99"/>
    <mergeCell ref="B100:E100"/>
    <mergeCell ref="G100:H100"/>
    <mergeCell ref="G101:H101"/>
    <mergeCell ref="B96:E96"/>
    <mergeCell ref="G96:H96"/>
    <mergeCell ref="B97:E97"/>
    <mergeCell ref="G97:H97"/>
    <mergeCell ref="B98:E98"/>
    <mergeCell ref="G98:H98"/>
    <mergeCell ref="B93:E93"/>
    <mergeCell ref="G93:H93"/>
    <mergeCell ref="B94:E94"/>
    <mergeCell ref="G94:H94"/>
    <mergeCell ref="B95:E95"/>
    <mergeCell ref="G95:H95"/>
    <mergeCell ref="B89:D89"/>
    <mergeCell ref="G89:H89"/>
    <mergeCell ref="B90:D90"/>
    <mergeCell ref="G90:H90"/>
    <mergeCell ref="G91:H91"/>
    <mergeCell ref="B92:D92"/>
    <mergeCell ref="G92:H92"/>
    <mergeCell ref="B86:D86"/>
    <mergeCell ref="G86:H86"/>
    <mergeCell ref="B87:D87"/>
    <mergeCell ref="G87:H87"/>
    <mergeCell ref="B88:D88"/>
    <mergeCell ref="G88:H88"/>
    <mergeCell ref="C82:D82"/>
    <mergeCell ref="E82:F82"/>
    <mergeCell ref="G82:H82"/>
    <mergeCell ref="G84:H84"/>
    <mergeCell ref="B85:D85"/>
    <mergeCell ref="G85:H85"/>
    <mergeCell ref="C80:D80"/>
    <mergeCell ref="E80:F80"/>
    <mergeCell ref="G80:H80"/>
    <mergeCell ref="C81:D81"/>
    <mergeCell ref="E81:F81"/>
    <mergeCell ref="G81:H81"/>
    <mergeCell ref="C78:D78"/>
    <mergeCell ref="E78:F78"/>
    <mergeCell ref="G78:H78"/>
    <mergeCell ref="C79:D79"/>
    <mergeCell ref="E79:F79"/>
    <mergeCell ref="G79:H79"/>
    <mergeCell ref="A76:B76"/>
    <mergeCell ref="C76:D76"/>
    <mergeCell ref="E76:F76"/>
    <mergeCell ref="G76:H76"/>
    <mergeCell ref="C77:D77"/>
    <mergeCell ref="E77:F77"/>
    <mergeCell ref="G77:H77"/>
    <mergeCell ref="A73:H73"/>
    <mergeCell ref="I73:J73"/>
    <mergeCell ref="K73:N73"/>
    <mergeCell ref="O73:P73"/>
    <mergeCell ref="Q73:R73"/>
    <mergeCell ref="I74:J74"/>
    <mergeCell ref="K74:N74"/>
    <mergeCell ref="A70:H70"/>
    <mergeCell ref="I70:R70"/>
    <mergeCell ref="A71:H71"/>
    <mergeCell ref="I71:R71"/>
    <mergeCell ref="A72:H72"/>
    <mergeCell ref="I72:R72"/>
    <mergeCell ref="B65:E65"/>
    <mergeCell ref="G65:H65"/>
    <mergeCell ref="J65:M65"/>
    <mergeCell ref="O65:P65"/>
    <mergeCell ref="G66:H66"/>
    <mergeCell ref="O66:P66"/>
    <mergeCell ref="B63:E63"/>
    <mergeCell ref="G63:H63"/>
    <mergeCell ref="J63:M63"/>
    <mergeCell ref="O63:P63"/>
    <mergeCell ref="B64:E64"/>
    <mergeCell ref="G64:H64"/>
    <mergeCell ref="J64:M64"/>
    <mergeCell ref="O64:P64"/>
    <mergeCell ref="B61:E61"/>
    <mergeCell ref="G61:H61"/>
    <mergeCell ref="J61:M61"/>
    <mergeCell ref="O61:P61"/>
    <mergeCell ref="B62:E62"/>
    <mergeCell ref="G62:H62"/>
    <mergeCell ref="J62:M62"/>
    <mergeCell ref="O62:P62"/>
    <mergeCell ref="B59:E59"/>
    <mergeCell ref="G59:H59"/>
    <mergeCell ref="J59:M59"/>
    <mergeCell ref="O59:P59"/>
    <mergeCell ref="B60:E60"/>
    <mergeCell ref="G60:H60"/>
    <mergeCell ref="J60:M60"/>
    <mergeCell ref="O60:P60"/>
    <mergeCell ref="B57:D57"/>
    <mergeCell ref="G57:H57"/>
    <mergeCell ref="J57:L57"/>
    <mergeCell ref="O57:P57"/>
    <mergeCell ref="B58:E58"/>
    <mergeCell ref="G58:H58"/>
    <mergeCell ref="J58:M58"/>
    <mergeCell ref="O58:P58"/>
    <mergeCell ref="B55:D55"/>
    <mergeCell ref="G55:H55"/>
    <mergeCell ref="J55:L55"/>
    <mergeCell ref="O55:P55"/>
    <mergeCell ref="G56:H56"/>
    <mergeCell ref="O56:P56"/>
    <mergeCell ref="B53:D53"/>
    <mergeCell ref="G53:H53"/>
    <mergeCell ref="J53:L53"/>
    <mergeCell ref="O53:P53"/>
    <mergeCell ref="B54:D54"/>
    <mergeCell ref="G54:H54"/>
    <mergeCell ref="J54:L54"/>
    <mergeCell ref="O54:P54"/>
    <mergeCell ref="B51:D51"/>
    <mergeCell ref="G51:H51"/>
    <mergeCell ref="J51:L51"/>
    <mergeCell ref="O51:P51"/>
    <mergeCell ref="B52:D52"/>
    <mergeCell ref="G52:H52"/>
    <mergeCell ref="J52:L52"/>
    <mergeCell ref="O52:P52"/>
    <mergeCell ref="G49:H49"/>
    <mergeCell ref="O49:P49"/>
    <mergeCell ref="B50:D50"/>
    <mergeCell ref="G50:H50"/>
    <mergeCell ref="J50:L50"/>
    <mergeCell ref="O50:P50"/>
    <mergeCell ref="C47:D47"/>
    <mergeCell ref="E47:F47"/>
    <mergeCell ref="G47:H47"/>
    <mergeCell ref="K47:L47"/>
    <mergeCell ref="M47:N47"/>
    <mergeCell ref="O47:P47"/>
    <mergeCell ref="C46:D46"/>
    <mergeCell ref="E46:F46"/>
    <mergeCell ref="G46:H46"/>
    <mergeCell ref="K46:L46"/>
    <mergeCell ref="M46:N46"/>
    <mergeCell ref="O46:P46"/>
    <mergeCell ref="C45:D45"/>
    <mergeCell ref="E45:F45"/>
    <mergeCell ref="G45:H45"/>
    <mergeCell ref="K45:L45"/>
    <mergeCell ref="M45:N45"/>
    <mergeCell ref="O45:P45"/>
    <mergeCell ref="C44:D44"/>
    <mergeCell ref="E44:F44"/>
    <mergeCell ref="G44:H44"/>
    <mergeCell ref="K44:L44"/>
    <mergeCell ref="M44:N44"/>
    <mergeCell ref="O44:P44"/>
    <mergeCell ref="C43:D43"/>
    <mergeCell ref="E43:F43"/>
    <mergeCell ref="G43:H43"/>
    <mergeCell ref="K43:L43"/>
    <mergeCell ref="M43:N43"/>
    <mergeCell ref="O43:P43"/>
    <mergeCell ref="C41:D41"/>
    <mergeCell ref="E41:F41"/>
    <mergeCell ref="G41:H41"/>
    <mergeCell ref="C42:D42"/>
    <mergeCell ref="E42:F42"/>
    <mergeCell ref="G42:H42"/>
    <mergeCell ref="M39:N39"/>
    <mergeCell ref="O39:P39"/>
    <mergeCell ref="C40:D40"/>
    <mergeCell ref="E40:F40"/>
    <mergeCell ref="G40:H40"/>
    <mergeCell ref="K40:L40"/>
    <mergeCell ref="M40:N40"/>
    <mergeCell ref="O40:P40"/>
    <mergeCell ref="A39:B39"/>
    <mergeCell ref="C39:D39"/>
    <mergeCell ref="E39:F39"/>
    <mergeCell ref="G39:H39"/>
    <mergeCell ref="I39:J39"/>
    <mergeCell ref="K39:L39"/>
    <mergeCell ref="I33:P33"/>
    <mergeCell ref="A34:H34"/>
    <mergeCell ref="I34:P34"/>
    <mergeCell ref="A35:H35"/>
    <mergeCell ref="I35:P35"/>
    <mergeCell ref="A36:H36"/>
    <mergeCell ref="I36:P36"/>
    <mergeCell ref="B30:E30"/>
    <mergeCell ref="G30:H30"/>
    <mergeCell ref="B31:E31"/>
    <mergeCell ref="G31:H31"/>
    <mergeCell ref="G32:H32"/>
    <mergeCell ref="A33:H33"/>
    <mergeCell ref="B27:E27"/>
    <mergeCell ref="G27:H27"/>
    <mergeCell ref="B28:E28"/>
    <mergeCell ref="G28:H28"/>
    <mergeCell ref="B29:E29"/>
    <mergeCell ref="G29:H29"/>
    <mergeCell ref="B24:E24"/>
    <mergeCell ref="G24:H24"/>
    <mergeCell ref="B25:E25"/>
    <mergeCell ref="G25:H25"/>
    <mergeCell ref="B26:E26"/>
    <mergeCell ref="G26:H26"/>
    <mergeCell ref="B20:D20"/>
    <mergeCell ref="G20:H20"/>
    <mergeCell ref="B21:D21"/>
    <mergeCell ref="G21:H21"/>
    <mergeCell ref="G22:H22"/>
    <mergeCell ref="B23:D23"/>
    <mergeCell ref="G23:H23"/>
    <mergeCell ref="B17:D17"/>
    <mergeCell ref="G17:H17"/>
    <mergeCell ref="B18:D18"/>
    <mergeCell ref="G18:H18"/>
    <mergeCell ref="B19:D19"/>
    <mergeCell ref="G19:H19"/>
    <mergeCell ref="C13:D13"/>
    <mergeCell ref="E13:F13"/>
    <mergeCell ref="G13:H13"/>
    <mergeCell ref="G15:H15"/>
    <mergeCell ref="B16:D16"/>
    <mergeCell ref="G16:H16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A7:B7"/>
    <mergeCell ref="C7:D7"/>
    <mergeCell ref="E7:F7"/>
    <mergeCell ref="G7:H7"/>
    <mergeCell ref="C8:D8"/>
    <mergeCell ref="E8:F8"/>
    <mergeCell ref="G8:H8"/>
    <mergeCell ref="A4:H4"/>
    <mergeCell ref="I4:J4"/>
    <mergeCell ref="K4:N4"/>
    <mergeCell ref="O4:P4"/>
    <mergeCell ref="Q4:R4"/>
    <mergeCell ref="I5:J5"/>
    <mergeCell ref="K5:N5"/>
    <mergeCell ref="A1:H1"/>
    <mergeCell ref="I1:R1"/>
    <mergeCell ref="A2:H2"/>
    <mergeCell ref="I2:R2"/>
    <mergeCell ref="A3:H3"/>
    <mergeCell ref="I3:R3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32" max="17" man="1"/>
  </rowBreaks>
  <colBreaks count="2" manualBreakCount="2">
    <brk id="8" max="102" man="1"/>
    <brk id="18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3.28125" style="66" customWidth="1"/>
    <col min="2" max="2" width="7.8515625" style="67" customWidth="1"/>
    <col min="3" max="3" width="13.7109375" style="66" customWidth="1"/>
    <col min="4" max="4" width="17.421875" style="99" bestFit="1" customWidth="1"/>
    <col min="5" max="5" width="4.28125" style="68" customWidth="1"/>
    <col min="6" max="16384" width="9.00390625" style="65" customWidth="1"/>
  </cols>
  <sheetData>
    <row r="1" spans="1:5" ht="25.5">
      <c r="A1" s="888" t="s">
        <v>30</v>
      </c>
      <c r="B1" s="888"/>
      <c r="C1" s="888"/>
      <c r="D1" s="888"/>
      <c r="E1" s="888"/>
    </row>
    <row r="2" spans="1:5" ht="25.5">
      <c r="A2" s="888" t="s">
        <v>151</v>
      </c>
      <c r="B2" s="888"/>
      <c r="C2" s="888"/>
      <c r="D2" s="888"/>
      <c r="E2" s="888"/>
    </row>
    <row r="3" spans="1:5" ht="25.5">
      <c r="A3" s="888" t="s">
        <v>152</v>
      </c>
      <c r="B3" s="888"/>
      <c r="C3" s="888"/>
      <c r="D3" s="888"/>
      <c r="E3" s="888"/>
    </row>
    <row r="4" spans="4:5" ht="21">
      <c r="D4" s="68"/>
      <c r="E4" s="69"/>
    </row>
    <row r="5" spans="2:5" ht="21.75">
      <c r="B5" s="70" t="s">
        <v>153</v>
      </c>
      <c r="C5" s="70" t="s">
        <v>154</v>
      </c>
      <c r="D5" s="71" t="s">
        <v>154</v>
      </c>
      <c r="E5" s="72"/>
    </row>
    <row r="6" spans="1:5" ht="21.75">
      <c r="A6" s="73" t="s">
        <v>155</v>
      </c>
      <c r="B6" s="74"/>
      <c r="C6" s="75"/>
      <c r="D6" s="76"/>
      <c r="E6" s="77"/>
    </row>
    <row r="7" spans="1:4" ht="21.75">
      <c r="A7" s="78" t="s">
        <v>156</v>
      </c>
      <c r="B7" s="74">
        <v>1</v>
      </c>
      <c r="C7" s="79"/>
      <c r="D7" s="80">
        <v>19232786.01</v>
      </c>
    </row>
    <row r="8" spans="1:4" ht="21.75">
      <c r="A8" s="78" t="s">
        <v>157</v>
      </c>
      <c r="B8" s="74">
        <v>2</v>
      </c>
      <c r="C8" s="79"/>
      <c r="D8" s="81">
        <v>44459694.93</v>
      </c>
    </row>
    <row r="9" spans="1:5" ht="21.75">
      <c r="A9" s="78" t="s">
        <v>158</v>
      </c>
      <c r="B9" s="74"/>
      <c r="C9" s="81"/>
      <c r="D9" s="82">
        <v>1681293.82</v>
      </c>
      <c r="E9" s="83"/>
    </row>
    <row r="10" spans="1:5" ht="21.75">
      <c r="A10" s="78" t="s">
        <v>149</v>
      </c>
      <c r="B10" s="74"/>
      <c r="C10" s="81"/>
      <c r="D10" s="82">
        <v>1182700</v>
      </c>
      <c r="E10" s="83"/>
    </row>
    <row r="11" spans="1:5" ht="21.75">
      <c r="A11" s="78" t="s">
        <v>159</v>
      </c>
      <c r="B11" s="74"/>
      <c r="C11" s="81"/>
      <c r="D11" s="82">
        <v>7844700</v>
      </c>
      <c r="E11" s="83"/>
    </row>
    <row r="12" spans="1:5" ht="21.75">
      <c r="A12" s="78" t="s">
        <v>160</v>
      </c>
      <c r="B12" s="74"/>
      <c r="C12" s="81"/>
      <c r="D12" s="82">
        <v>450000</v>
      </c>
      <c r="E12" s="83"/>
    </row>
    <row r="13" spans="1:5" ht="21.75">
      <c r="A13" s="78" t="s">
        <v>161</v>
      </c>
      <c r="B13" s="74"/>
      <c r="C13" s="81"/>
      <c r="D13" s="82">
        <v>522000</v>
      </c>
      <c r="E13" s="83"/>
    </row>
    <row r="14" spans="1:5" ht="21.75">
      <c r="A14" s="78" t="s">
        <v>162</v>
      </c>
      <c r="B14" s="74"/>
      <c r="C14" s="81"/>
      <c r="D14" s="82">
        <v>23490</v>
      </c>
      <c r="E14" s="83"/>
    </row>
    <row r="15" spans="1:5" ht="21.75">
      <c r="A15" s="78" t="s">
        <v>145</v>
      </c>
      <c r="B15" s="74"/>
      <c r="C15" s="81"/>
      <c r="D15" s="82">
        <v>2007</v>
      </c>
      <c r="E15" s="83"/>
    </row>
    <row r="16" spans="1:5" ht="21.75">
      <c r="A16" s="78" t="s">
        <v>163</v>
      </c>
      <c r="B16" s="74"/>
      <c r="C16" s="81"/>
      <c r="D16" s="82">
        <v>1600</v>
      </c>
      <c r="E16" s="83"/>
    </row>
    <row r="17" spans="1:5" ht="21.75">
      <c r="A17" s="78" t="s">
        <v>164</v>
      </c>
      <c r="B17" s="74"/>
      <c r="C17" s="81"/>
      <c r="D17" s="82">
        <v>110450</v>
      </c>
      <c r="E17" s="83"/>
    </row>
    <row r="18" spans="1:4" ht="21.75">
      <c r="A18" s="78" t="s">
        <v>165</v>
      </c>
      <c r="B18" s="74"/>
      <c r="C18" s="81"/>
      <c r="D18" s="84">
        <v>30365.8</v>
      </c>
    </row>
    <row r="19" spans="1:4" ht="21.75">
      <c r="A19" s="78" t="s">
        <v>127</v>
      </c>
      <c r="B19" s="74"/>
      <c r="C19" s="81"/>
      <c r="D19" s="84">
        <v>332650</v>
      </c>
    </row>
    <row r="20" spans="1:4" ht="21.75">
      <c r="A20" s="78" t="s">
        <v>166</v>
      </c>
      <c r="B20" s="74"/>
      <c r="C20" s="81"/>
      <c r="D20" s="85">
        <v>154200</v>
      </c>
    </row>
    <row r="21" spans="1:4" ht="22.5" thickBot="1">
      <c r="A21" s="78"/>
      <c r="B21" s="74"/>
      <c r="C21" s="81"/>
      <c r="D21" s="86">
        <f>SUM(D8:D20)</f>
        <v>56795151.55</v>
      </c>
    </row>
    <row r="22" spans="1:4" ht="21.75">
      <c r="A22" s="78" t="s">
        <v>167</v>
      </c>
      <c r="B22" s="74">
        <v>1</v>
      </c>
      <c r="C22" s="81"/>
      <c r="D22" s="80">
        <v>19230876.01</v>
      </c>
    </row>
    <row r="23" spans="1:4" ht="21.75">
      <c r="A23" s="78" t="s">
        <v>168</v>
      </c>
      <c r="B23" s="74">
        <v>4</v>
      </c>
      <c r="C23" s="81"/>
      <c r="D23" s="81">
        <v>944753.8</v>
      </c>
    </row>
    <row r="24" spans="1:4" ht="21.75">
      <c r="A24" s="78" t="s">
        <v>169</v>
      </c>
      <c r="B24" s="74">
        <v>5</v>
      </c>
      <c r="C24" s="79"/>
      <c r="D24" s="81">
        <v>1791560</v>
      </c>
    </row>
    <row r="25" spans="1:4" ht="21.75">
      <c r="A25" s="78" t="s">
        <v>170</v>
      </c>
      <c r="B25" s="74"/>
      <c r="C25" s="79"/>
      <c r="D25" s="81">
        <v>732741.1</v>
      </c>
    </row>
    <row r="26" spans="1:4" ht="21.75">
      <c r="A26" s="78" t="s">
        <v>171</v>
      </c>
      <c r="B26" s="74"/>
      <c r="C26" s="79"/>
      <c r="D26" s="81">
        <v>13039709.15</v>
      </c>
    </row>
    <row r="27" spans="1:4" ht="21.75">
      <c r="A27" s="78" t="s">
        <v>172</v>
      </c>
      <c r="B27" s="74"/>
      <c r="C27" s="79"/>
      <c r="D27" s="81">
        <v>9459285.62</v>
      </c>
    </row>
    <row r="28" spans="1:4" ht="21.75">
      <c r="A28" s="78" t="s">
        <v>69</v>
      </c>
      <c r="B28" s="74"/>
      <c r="C28" s="79"/>
      <c r="D28" s="81">
        <v>30827101.88</v>
      </c>
    </row>
    <row r="29" spans="1:5" ht="21.75">
      <c r="A29" s="78"/>
      <c r="B29" s="74"/>
      <c r="C29" s="79"/>
      <c r="D29" s="87">
        <f>SUM(D23:D28)</f>
        <v>56795151.55</v>
      </c>
      <c r="E29" s="88"/>
    </row>
    <row r="30" spans="1:4" ht="21.75">
      <c r="A30" s="89"/>
      <c r="B30" s="74"/>
      <c r="C30" s="81"/>
      <c r="D30" s="81"/>
    </row>
    <row r="31" spans="1:4" ht="21.75">
      <c r="A31" s="78"/>
      <c r="B31" s="74"/>
      <c r="C31" s="79"/>
      <c r="D31" s="81"/>
    </row>
    <row r="32" spans="1:4" ht="21.75">
      <c r="A32" s="78"/>
      <c r="B32" s="74"/>
      <c r="C32" s="79"/>
      <c r="D32" s="81"/>
    </row>
    <row r="33" spans="1:4" ht="21.75">
      <c r="A33" s="78"/>
      <c r="B33" s="74"/>
      <c r="C33" s="79"/>
      <c r="D33" s="81"/>
    </row>
    <row r="34" spans="1:5" ht="21.75">
      <c r="A34" s="90"/>
      <c r="B34" s="74"/>
      <c r="C34" s="91"/>
      <c r="D34" s="91"/>
      <c r="E34" s="88"/>
    </row>
    <row r="35" spans="1:5" ht="21.75">
      <c r="A35" s="90"/>
      <c r="B35" s="74"/>
      <c r="C35" s="91"/>
      <c r="D35" s="92"/>
      <c r="E35" s="88"/>
    </row>
    <row r="36" spans="1:5" ht="21.75">
      <c r="A36" s="93"/>
      <c r="B36" s="74"/>
      <c r="C36" s="79"/>
      <c r="D36" s="94"/>
      <c r="E36" s="95"/>
    </row>
    <row r="37" spans="1:4" ht="21.75">
      <c r="A37" s="96"/>
      <c r="B37" s="74"/>
      <c r="C37" s="81"/>
      <c r="D37" s="81"/>
    </row>
    <row r="38" spans="1:4" ht="21.75">
      <c r="A38" s="78"/>
      <c r="B38" s="74"/>
      <c r="C38" s="79"/>
      <c r="D38" s="81"/>
    </row>
    <row r="39" spans="1:4" ht="21.75">
      <c r="A39" s="78"/>
      <c r="B39" s="74"/>
      <c r="C39" s="79"/>
      <c r="D39" s="81"/>
    </row>
    <row r="40" spans="1:4" ht="21.75">
      <c r="A40" s="78"/>
      <c r="B40" s="74"/>
      <c r="C40" s="79"/>
      <c r="D40" s="81"/>
    </row>
    <row r="41" spans="1:4" ht="21.75">
      <c r="A41" s="78"/>
      <c r="B41" s="74"/>
      <c r="C41" s="79"/>
      <c r="D41" s="81"/>
    </row>
    <row r="42" spans="1:4" ht="21.75">
      <c r="A42" s="78"/>
      <c r="B42" s="74"/>
      <c r="C42" s="79"/>
      <c r="D42" s="81"/>
    </row>
    <row r="43" spans="1:4" ht="21.75">
      <c r="A43" s="78"/>
      <c r="B43" s="74"/>
      <c r="C43" s="79"/>
      <c r="D43" s="81"/>
    </row>
    <row r="44" spans="1:4" ht="21.75">
      <c r="A44" s="78"/>
      <c r="B44" s="74"/>
      <c r="C44" s="79"/>
      <c r="D44" s="81"/>
    </row>
    <row r="45" spans="1:4" ht="21.75">
      <c r="A45" s="78"/>
      <c r="B45" s="74"/>
      <c r="C45" s="79"/>
      <c r="D45" s="81"/>
    </row>
    <row r="46" spans="1:5" ht="25.5">
      <c r="A46" s="888" t="s">
        <v>30</v>
      </c>
      <c r="B46" s="888"/>
      <c r="C46" s="888"/>
      <c r="D46" s="888"/>
      <c r="E46" s="888"/>
    </row>
    <row r="47" spans="1:5" ht="25.5">
      <c r="A47" s="888" t="s">
        <v>151</v>
      </c>
      <c r="B47" s="888"/>
      <c r="C47" s="888"/>
      <c r="D47" s="888"/>
      <c r="E47" s="888"/>
    </row>
    <row r="48" spans="1:5" ht="25.5">
      <c r="A48" s="888" t="s">
        <v>173</v>
      </c>
      <c r="B48" s="888"/>
      <c r="C48" s="888"/>
      <c r="D48" s="888"/>
      <c r="E48" s="888"/>
    </row>
    <row r="49" spans="4:5" ht="21">
      <c r="D49" s="68"/>
      <c r="E49" s="69"/>
    </row>
    <row r="50" spans="2:5" ht="21.75">
      <c r="B50" s="70" t="s">
        <v>153</v>
      </c>
      <c r="C50" s="70" t="s">
        <v>154</v>
      </c>
      <c r="D50" s="71" t="s">
        <v>154</v>
      </c>
      <c r="E50" s="72"/>
    </row>
    <row r="51" spans="1:5" ht="21.75">
      <c r="A51" s="73" t="s">
        <v>155</v>
      </c>
      <c r="B51" s="74"/>
      <c r="C51" s="75"/>
      <c r="D51" s="76"/>
      <c r="E51" s="77"/>
    </row>
    <row r="52" spans="1:4" ht="21.75">
      <c r="A52" s="78" t="s">
        <v>156</v>
      </c>
      <c r="B52" s="74">
        <v>1</v>
      </c>
      <c r="C52" s="79"/>
      <c r="D52" s="80">
        <v>43505423</v>
      </c>
    </row>
    <row r="53" spans="1:4" ht="21.75">
      <c r="A53" s="78" t="s">
        <v>157</v>
      </c>
      <c r="B53" s="74">
        <v>2</v>
      </c>
      <c r="C53" s="79"/>
      <c r="D53" s="81">
        <v>34260846.69</v>
      </c>
    </row>
    <row r="54" spans="1:5" ht="21.75">
      <c r="A54" s="78" t="s">
        <v>158</v>
      </c>
      <c r="B54" s="74"/>
      <c r="C54" s="81"/>
      <c r="D54" s="82">
        <v>7138633.59</v>
      </c>
      <c r="E54" s="83"/>
    </row>
    <row r="55" spans="1:5" ht="21.75">
      <c r="A55" s="78" t="s">
        <v>174</v>
      </c>
      <c r="B55" s="74"/>
      <c r="C55" s="81">
        <v>595750</v>
      </c>
      <c r="D55" s="82"/>
      <c r="E55" s="83"/>
    </row>
    <row r="56" spans="1:5" ht="21.75">
      <c r="A56" s="78" t="s">
        <v>175</v>
      </c>
      <c r="B56" s="74"/>
      <c r="C56" s="81">
        <v>16525</v>
      </c>
      <c r="D56" s="82"/>
      <c r="E56" s="83"/>
    </row>
    <row r="57" spans="1:5" ht="21.75">
      <c r="A57" s="78" t="s">
        <v>176</v>
      </c>
      <c r="B57" s="74"/>
      <c r="C57" s="81">
        <v>4792</v>
      </c>
      <c r="D57" s="82"/>
      <c r="E57" s="83"/>
    </row>
    <row r="58" spans="1:5" ht="21.75">
      <c r="A58" s="78" t="s">
        <v>145</v>
      </c>
      <c r="B58" s="74"/>
      <c r="C58" s="67" t="s">
        <v>27</v>
      </c>
      <c r="D58" s="82"/>
      <c r="E58" s="83"/>
    </row>
    <row r="59" spans="1:5" ht="21.75">
      <c r="A59" s="78" t="s">
        <v>127</v>
      </c>
      <c r="B59" s="74"/>
      <c r="C59" s="81">
        <v>1133719</v>
      </c>
      <c r="D59" s="82"/>
      <c r="E59" s="83"/>
    </row>
    <row r="60" spans="1:5" ht="21.75">
      <c r="A60" s="78" t="s">
        <v>177</v>
      </c>
      <c r="B60" s="74"/>
      <c r="C60" s="81">
        <v>55348</v>
      </c>
      <c r="D60" s="82"/>
      <c r="E60" s="83"/>
    </row>
    <row r="61" spans="1:5" ht="21.75">
      <c r="A61" s="78" t="s">
        <v>146</v>
      </c>
      <c r="B61" s="74"/>
      <c r="C61" s="81">
        <v>1143000</v>
      </c>
      <c r="D61" s="82"/>
      <c r="E61" s="83"/>
    </row>
    <row r="62" spans="1:5" ht="21.75">
      <c r="A62" s="78" t="s">
        <v>126</v>
      </c>
      <c r="B62" s="74"/>
      <c r="C62" s="81">
        <v>670199</v>
      </c>
      <c r="D62" s="82"/>
      <c r="E62" s="83"/>
    </row>
    <row r="63" spans="1:5" ht="21.75">
      <c r="A63" s="78" t="s">
        <v>178</v>
      </c>
      <c r="B63" s="74"/>
      <c r="C63" s="81">
        <v>3251539</v>
      </c>
      <c r="D63" s="82"/>
      <c r="E63" s="83"/>
    </row>
    <row r="64" spans="1:5" ht="21.75">
      <c r="A64" s="78" t="s">
        <v>179</v>
      </c>
      <c r="B64" s="74"/>
      <c r="C64" s="81">
        <v>2236500</v>
      </c>
      <c r="D64" s="82"/>
      <c r="E64" s="83"/>
    </row>
    <row r="65" spans="1:5" ht="21.75">
      <c r="A65" s="78" t="s">
        <v>180</v>
      </c>
      <c r="B65" s="74"/>
      <c r="C65" s="81">
        <v>179000</v>
      </c>
      <c r="D65" s="82"/>
      <c r="E65" s="83"/>
    </row>
    <row r="66" spans="1:5" ht="21.75">
      <c r="A66" s="78" t="s">
        <v>144</v>
      </c>
      <c r="B66" s="74"/>
      <c r="C66" s="81">
        <v>183278</v>
      </c>
      <c r="D66" s="85"/>
      <c r="E66" s="83"/>
    </row>
    <row r="67" spans="1:5" ht="21.75">
      <c r="A67" s="66" t="s">
        <v>181</v>
      </c>
      <c r="C67" s="97">
        <v>30</v>
      </c>
      <c r="D67" s="85">
        <v>9469680</v>
      </c>
      <c r="E67" s="83"/>
    </row>
    <row r="68" spans="1:5" ht="22.5" thickBot="1">
      <c r="A68" s="78"/>
      <c r="B68" s="74"/>
      <c r="C68" s="81"/>
      <c r="D68" s="86">
        <v>50869160.28</v>
      </c>
      <c r="E68" s="83"/>
    </row>
    <row r="69" spans="1:5" ht="21.75">
      <c r="A69" s="78"/>
      <c r="B69" s="74"/>
      <c r="C69" s="81"/>
      <c r="D69" s="82"/>
      <c r="E69" s="83"/>
    </row>
    <row r="70" spans="1:4" ht="21.75">
      <c r="A70" s="98" t="s">
        <v>182</v>
      </c>
      <c r="B70" s="74"/>
      <c r="C70" s="81"/>
      <c r="D70" s="81"/>
    </row>
    <row r="71" spans="1:4" ht="21.75">
      <c r="A71" s="78" t="s">
        <v>167</v>
      </c>
      <c r="B71" s="74">
        <v>1</v>
      </c>
      <c r="C71" s="81"/>
      <c r="D71" s="80">
        <v>43505423</v>
      </c>
    </row>
    <row r="72" spans="1:4" ht="21.75">
      <c r="A72" s="78" t="s">
        <v>168</v>
      </c>
      <c r="B72" s="74">
        <v>4</v>
      </c>
      <c r="C72" s="81"/>
      <c r="D72" s="81">
        <v>501900.86</v>
      </c>
    </row>
    <row r="73" spans="1:4" ht="21.75">
      <c r="A73" s="78" t="s">
        <v>183</v>
      </c>
      <c r="B73" s="74">
        <v>5</v>
      </c>
      <c r="C73" s="79"/>
      <c r="D73" s="81">
        <v>17330</v>
      </c>
    </row>
    <row r="74" spans="1:4" ht="21.75">
      <c r="A74" s="78" t="s">
        <v>140</v>
      </c>
      <c r="B74" s="74"/>
      <c r="C74" s="79"/>
      <c r="D74" s="75" t="s">
        <v>27</v>
      </c>
    </row>
    <row r="75" spans="1:4" ht="21.75">
      <c r="A75" s="78" t="s">
        <v>171</v>
      </c>
      <c r="B75" s="74"/>
      <c r="C75" s="79"/>
      <c r="D75" s="81">
        <v>12944830.93</v>
      </c>
    </row>
    <row r="76" spans="1:4" ht="21.75">
      <c r="A76" s="78" t="s">
        <v>172</v>
      </c>
      <c r="B76" s="74">
        <v>7</v>
      </c>
      <c r="C76" s="79"/>
      <c r="D76" s="81">
        <v>14450528.5</v>
      </c>
    </row>
    <row r="77" spans="1:4" ht="21.75">
      <c r="A77" s="78" t="s">
        <v>184</v>
      </c>
      <c r="B77" s="74">
        <v>7</v>
      </c>
      <c r="C77" s="79"/>
      <c r="D77" s="81">
        <v>22954569.99</v>
      </c>
    </row>
    <row r="78" spans="1:4" ht="21.75">
      <c r="A78" s="78"/>
      <c r="B78" s="74"/>
      <c r="C78" s="79"/>
      <c r="D78" s="87">
        <f>SUM(D72:D77)</f>
        <v>50869160.28</v>
      </c>
    </row>
    <row r="79" spans="1:4" ht="21.75">
      <c r="A79" s="78"/>
      <c r="B79" s="74"/>
      <c r="C79" s="79"/>
      <c r="D79" s="81"/>
    </row>
    <row r="80" spans="1:5" ht="21.75">
      <c r="A80" s="90"/>
      <c r="B80" s="74"/>
      <c r="C80" s="91"/>
      <c r="D80" s="92"/>
      <c r="E80" s="88"/>
    </row>
    <row r="81" spans="1:4" ht="21.75">
      <c r="A81" s="89"/>
      <c r="B81" s="74"/>
      <c r="C81" s="81"/>
      <c r="D81" s="81"/>
    </row>
    <row r="82" spans="1:4" ht="21.75">
      <c r="A82" s="78"/>
      <c r="B82" s="74"/>
      <c r="C82" s="79"/>
      <c r="D82" s="81"/>
    </row>
    <row r="83" spans="1:4" ht="21.75">
      <c r="A83" s="78"/>
      <c r="B83" s="74"/>
      <c r="C83" s="79"/>
      <c r="D83" s="81"/>
    </row>
    <row r="84" spans="1:4" ht="21.75">
      <c r="A84" s="78"/>
      <c r="B84" s="74"/>
      <c r="C84" s="79"/>
      <c r="D84" s="81"/>
    </row>
    <row r="85" spans="1:5" ht="21.75">
      <c r="A85" s="90"/>
      <c r="B85" s="74"/>
      <c r="C85" s="91"/>
      <c r="D85" s="91"/>
      <c r="E85" s="88"/>
    </row>
    <row r="86" spans="1:5" ht="21.75">
      <c r="A86" s="90"/>
      <c r="B86" s="74"/>
      <c r="C86" s="91"/>
      <c r="D86" s="92"/>
      <c r="E86" s="88"/>
    </row>
    <row r="87" spans="1:5" ht="21.75">
      <c r="A87" s="93"/>
      <c r="B87" s="74"/>
      <c r="C87" s="79"/>
      <c r="D87" s="94"/>
      <c r="E87" s="95"/>
    </row>
  </sheetData>
  <sheetProtection/>
  <mergeCells count="6">
    <mergeCell ref="A1:E1"/>
    <mergeCell ref="A2:E2"/>
    <mergeCell ref="A3:E3"/>
    <mergeCell ref="A46:E46"/>
    <mergeCell ref="A47:E47"/>
    <mergeCell ref="A48:E48"/>
  </mergeCells>
  <printOptions horizontalCentered="1"/>
  <pageMargins left="0.72" right="0.59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3.28125" style="66" customWidth="1"/>
    <col min="2" max="2" width="7.8515625" style="67" customWidth="1"/>
    <col min="3" max="3" width="13.7109375" style="66" customWidth="1"/>
    <col min="4" max="4" width="17.421875" style="99" bestFit="1" customWidth="1"/>
    <col min="5" max="5" width="4.28125" style="68" customWidth="1"/>
    <col min="6" max="16384" width="9.00390625" style="65" customWidth="1"/>
  </cols>
  <sheetData>
    <row r="1" spans="1:5" ht="25.5">
      <c r="A1" s="888" t="s">
        <v>30</v>
      </c>
      <c r="B1" s="888"/>
      <c r="C1" s="888"/>
      <c r="D1" s="888"/>
      <c r="E1" s="888"/>
    </row>
    <row r="2" spans="1:5" ht="25.5">
      <c r="A2" s="888" t="s">
        <v>151</v>
      </c>
      <c r="B2" s="888"/>
      <c r="C2" s="888"/>
      <c r="D2" s="888"/>
      <c r="E2" s="888"/>
    </row>
    <row r="3" spans="1:5" ht="25.5">
      <c r="A3" s="888" t="s">
        <v>152</v>
      </c>
      <c r="B3" s="888"/>
      <c r="C3" s="888"/>
      <c r="D3" s="888"/>
      <c r="E3" s="888"/>
    </row>
    <row r="4" spans="4:5" ht="21">
      <c r="D4" s="68"/>
      <c r="E4" s="69"/>
    </row>
    <row r="5" spans="2:5" ht="21.75">
      <c r="B5" s="70" t="s">
        <v>153</v>
      </c>
      <c r="C5" s="70" t="s">
        <v>154</v>
      </c>
      <c r="D5" s="71" t="s">
        <v>154</v>
      </c>
      <c r="E5" s="72"/>
    </row>
    <row r="6" spans="1:5" ht="21.75">
      <c r="A6" s="73" t="s">
        <v>155</v>
      </c>
      <c r="B6" s="74"/>
      <c r="C6" s="75"/>
      <c r="D6" s="76"/>
      <c r="E6" s="77"/>
    </row>
    <row r="7" spans="1:4" ht="21.75">
      <c r="A7" s="78" t="s">
        <v>156</v>
      </c>
      <c r="B7" s="74">
        <v>1</v>
      </c>
      <c r="C7" s="79"/>
      <c r="D7" s="80">
        <v>19232786.01</v>
      </c>
    </row>
    <row r="8" spans="1:4" ht="21.75">
      <c r="A8" s="78" t="s">
        <v>157</v>
      </c>
      <c r="B8" s="74">
        <v>2</v>
      </c>
      <c r="C8" s="79"/>
      <c r="D8" s="81">
        <v>44459694.93</v>
      </c>
    </row>
    <row r="9" spans="1:5" ht="21.75">
      <c r="A9" s="78" t="s">
        <v>158</v>
      </c>
      <c r="B9" s="74"/>
      <c r="C9" s="81"/>
      <c r="D9" s="82">
        <v>1681293.82</v>
      </c>
      <c r="E9" s="83"/>
    </row>
    <row r="10" spans="1:5" ht="21.75">
      <c r="A10" s="78" t="s">
        <v>149</v>
      </c>
      <c r="B10" s="74"/>
      <c r="C10" s="81"/>
      <c r="D10" s="82">
        <v>1182700</v>
      </c>
      <c r="E10" s="83"/>
    </row>
    <row r="11" spans="1:5" ht="21.75">
      <c r="A11" s="78" t="s">
        <v>159</v>
      </c>
      <c r="B11" s="74"/>
      <c r="C11" s="81"/>
      <c r="D11" s="82">
        <v>7844700</v>
      </c>
      <c r="E11" s="83"/>
    </row>
    <row r="12" spans="1:5" ht="21.75">
      <c r="A12" s="78" t="s">
        <v>160</v>
      </c>
      <c r="B12" s="74"/>
      <c r="C12" s="81"/>
      <c r="D12" s="82">
        <v>450000</v>
      </c>
      <c r="E12" s="83"/>
    </row>
    <row r="13" spans="1:5" ht="21.75">
      <c r="A13" s="78" t="s">
        <v>161</v>
      </c>
      <c r="B13" s="74"/>
      <c r="C13" s="81"/>
      <c r="D13" s="82">
        <v>522000</v>
      </c>
      <c r="E13" s="83"/>
    </row>
    <row r="14" spans="1:5" ht="21.75">
      <c r="A14" s="78" t="s">
        <v>162</v>
      </c>
      <c r="B14" s="74"/>
      <c r="C14" s="81"/>
      <c r="D14" s="82">
        <v>23490</v>
      </c>
      <c r="E14" s="83"/>
    </row>
    <row r="15" spans="1:5" ht="21.75">
      <c r="A15" s="78" t="s">
        <v>145</v>
      </c>
      <c r="B15" s="74"/>
      <c r="C15" s="81"/>
      <c r="D15" s="82">
        <v>2007</v>
      </c>
      <c r="E15" s="83"/>
    </row>
    <row r="16" spans="1:5" ht="21.75">
      <c r="A16" s="78" t="s">
        <v>163</v>
      </c>
      <c r="B16" s="74"/>
      <c r="C16" s="81"/>
      <c r="D16" s="82">
        <v>1600</v>
      </c>
      <c r="E16" s="83"/>
    </row>
    <row r="17" spans="1:5" ht="21.75">
      <c r="A17" s="78" t="s">
        <v>164</v>
      </c>
      <c r="B17" s="74"/>
      <c r="C17" s="81"/>
      <c r="D17" s="82">
        <v>110450</v>
      </c>
      <c r="E17" s="83"/>
    </row>
    <row r="18" spans="1:4" ht="21.75">
      <c r="A18" s="78" t="s">
        <v>165</v>
      </c>
      <c r="B18" s="74"/>
      <c r="C18" s="81"/>
      <c r="D18" s="84">
        <v>30365.8</v>
      </c>
    </row>
    <row r="19" spans="1:4" ht="21.75">
      <c r="A19" s="78" t="s">
        <v>127</v>
      </c>
      <c r="B19" s="74"/>
      <c r="C19" s="81"/>
      <c r="D19" s="84">
        <v>332650</v>
      </c>
    </row>
    <row r="20" spans="1:4" ht="21.75">
      <c r="A20" s="78" t="s">
        <v>166</v>
      </c>
      <c r="B20" s="74"/>
      <c r="C20" s="81"/>
      <c r="D20" s="85">
        <v>154200</v>
      </c>
    </row>
    <row r="21" spans="1:4" ht="22.5" thickBot="1">
      <c r="A21" s="78"/>
      <c r="B21" s="74"/>
      <c r="C21" s="81"/>
      <c r="D21" s="86">
        <f>SUM(D8:D20)</f>
        <v>56795151.55</v>
      </c>
    </row>
    <row r="22" spans="1:4" ht="21.75">
      <c r="A22" s="78" t="s">
        <v>167</v>
      </c>
      <c r="B22" s="74">
        <v>1</v>
      </c>
      <c r="C22" s="81"/>
      <c r="D22" s="80">
        <v>19230876.01</v>
      </c>
    </row>
    <row r="23" spans="1:4" ht="21.75">
      <c r="A23" s="78" t="s">
        <v>168</v>
      </c>
      <c r="B23" s="74">
        <v>4</v>
      </c>
      <c r="C23" s="81"/>
      <c r="D23" s="81">
        <v>944753.8</v>
      </c>
    </row>
    <row r="24" spans="1:4" ht="21.75">
      <c r="A24" s="78" t="s">
        <v>169</v>
      </c>
      <c r="B24" s="74">
        <v>5</v>
      </c>
      <c r="C24" s="79"/>
      <c r="D24" s="81">
        <v>1791560</v>
      </c>
    </row>
    <row r="25" spans="1:4" ht="21.75">
      <c r="A25" s="78" t="s">
        <v>170</v>
      </c>
      <c r="B25" s="74"/>
      <c r="C25" s="79"/>
      <c r="D25" s="81">
        <v>732741.1</v>
      </c>
    </row>
    <row r="26" spans="1:4" ht="21.75">
      <c r="A26" s="78" t="s">
        <v>171</v>
      </c>
      <c r="B26" s="74"/>
      <c r="C26" s="79"/>
      <c r="D26" s="81">
        <v>13039709.15</v>
      </c>
    </row>
    <row r="27" spans="1:4" ht="21.75">
      <c r="A27" s="78" t="s">
        <v>172</v>
      </c>
      <c r="B27" s="74"/>
      <c r="C27" s="79"/>
      <c r="D27" s="81">
        <v>9459285.62</v>
      </c>
    </row>
    <row r="28" spans="1:4" ht="21.75">
      <c r="A28" s="78" t="s">
        <v>69</v>
      </c>
      <c r="B28" s="74"/>
      <c r="C28" s="79"/>
      <c r="D28" s="81">
        <v>30827101.88</v>
      </c>
    </row>
    <row r="29" spans="1:5" ht="21.75">
      <c r="A29" s="78"/>
      <c r="B29" s="74"/>
      <c r="C29" s="79"/>
      <c r="D29" s="87">
        <f>SUM(D23:D28)</f>
        <v>56795151.55</v>
      </c>
      <c r="E29" s="88"/>
    </row>
    <row r="30" spans="1:4" ht="21.75">
      <c r="A30" s="89"/>
      <c r="B30" s="74"/>
      <c r="C30" s="81"/>
      <c r="D30" s="81"/>
    </row>
    <row r="31" spans="1:4" ht="21.75">
      <c r="A31" s="78"/>
      <c r="B31" s="74"/>
      <c r="C31" s="79"/>
      <c r="D31" s="81"/>
    </row>
    <row r="32" spans="1:4" ht="21.75">
      <c r="A32" s="78"/>
      <c r="B32" s="74"/>
      <c r="C32" s="79"/>
      <c r="D32" s="81"/>
    </row>
    <row r="33" spans="1:4" ht="21.75">
      <c r="A33" s="78"/>
      <c r="B33" s="74"/>
      <c r="C33" s="79"/>
      <c r="D33" s="81"/>
    </row>
    <row r="34" spans="1:5" ht="21.75">
      <c r="A34" s="90"/>
      <c r="B34" s="74"/>
      <c r="C34" s="91"/>
      <c r="D34" s="91"/>
      <c r="E34" s="88"/>
    </row>
    <row r="35" spans="1:5" ht="21.75">
      <c r="A35" s="90"/>
      <c r="B35" s="74"/>
      <c r="C35" s="91"/>
      <c r="D35" s="92"/>
      <c r="E35" s="88"/>
    </row>
    <row r="36" spans="1:5" ht="21.75">
      <c r="A36" s="93"/>
      <c r="B36" s="74"/>
      <c r="C36" s="79"/>
      <c r="D36" s="94"/>
      <c r="E36" s="95"/>
    </row>
    <row r="37" spans="1:4" ht="21.75">
      <c r="A37" s="96"/>
      <c r="B37" s="74"/>
      <c r="C37" s="81"/>
      <c r="D37" s="81"/>
    </row>
    <row r="38" spans="1:4" ht="21.75">
      <c r="A38" s="78"/>
      <c r="B38" s="74"/>
      <c r="C38" s="79"/>
      <c r="D38" s="81"/>
    </row>
    <row r="39" spans="1:4" ht="21.75">
      <c r="A39" s="78"/>
      <c r="B39" s="74"/>
      <c r="C39" s="79"/>
      <c r="D39" s="81"/>
    </row>
    <row r="40" spans="1:4" ht="21.75">
      <c r="A40" s="78"/>
      <c r="B40" s="74"/>
      <c r="C40" s="79"/>
      <c r="D40" s="81"/>
    </row>
    <row r="41" spans="1:4" ht="21.75">
      <c r="A41" s="78"/>
      <c r="B41" s="74"/>
      <c r="C41" s="79"/>
      <c r="D41" s="81"/>
    </row>
    <row r="42" spans="1:4" ht="21.75">
      <c r="A42" s="78"/>
      <c r="B42" s="74"/>
      <c r="C42" s="79"/>
      <c r="D42" s="81"/>
    </row>
    <row r="43" spans="1:4" ht="21.75">
      <c r="A43" s="78"/>
      <c r="B43" s="74"/>
      <c r="C43" s="79"/>
      <c r="D43" s="81"/>
    </row>
    <row r="44" spans="1:4" ht="21.75">
      <c r="A44" s="78"/>
      <c r="B44" s="74"/>
      <c r="C44" s="79"/>
      <c r="D44" s="81"/>
    </row>
    <row r="45" spans="1:4" ht="21.75">
      <c r="A45" s="78"/>
      <c r="B45" s="74"/>
      <c r="C45" s="79"/>
      <c r="D45" s="81"/>
    </row>
    <row r="46" spans="1:5" ht="25.5">
      <c r="A46" s="888" t="s">
        <v>30</v>
      </c>
      <c r="B46" s="888"/>
      <c r="C46" s="888"/>
      <c r="D46" s="888"/>
      <c r="E46" s="888"/>
    </row>
    <row r="47" spans="1:5" ht="25.5">
      <c r="A47" s="888" t="s">
        <v>151</v>
      </c>
      <c r="B47" s="888"/>
      <c r="C47" s="888"/>
      <c r="D47" s="888"/>
      <c r="E47" s="888"/>
    </row>
    <row r="48" spans="1:5" ht="25.5">
      <c r="A48" s="888" t="s">
        <v>173</v>
      </c>
      <c r="B48" s="888"/>
      <c r="C48" s="888"/>
      <c r="D48" s="888"/>
      <c r="E48" s="888"/>
    </row>
    <row r="49" spans="4:5" ht="21">
      <c r="D49" s="68"/>
      <c r="E49" s="69"/>
    </row>
    <row r="50" spans="2:5" ht="21.75">
      <c r="B50" s="70" t="s">
        <v>153</v>
      </c>
      <c r="C50" s="70" t="s">
        <v>154</v>
      </c>
      <c r="D50" s="71" t="s">
        <v>154</v>
      </c>
      <c r="E50" s="72"/>
    </row>
    <row r="51" spans="1:5" ht="21.75">
      <c r="A51" s="73" t="s">
        <v>155</v>
      </c>
      <c r="B51" s="74"/>
      <c r="C51" s="75"/>
      <c r="D51" s="76"/>
      <c r="E51" s="77"/>
    </row>
    <row r="52" spans="1:4" ht="21.75">
      <c r="A52" s="78" t="s">
        <v>156</v>
      </c>
      <c r="B52" s="74">
        <v>1</v>
      </c>
      <c r="C52" s="79"/>
      <c r="D52" s="80">
        <v>43505423</v>
      </c>
    </row>
    <row r="53" spans="1:4" ht="21.75">
      <c r="A53" s="78" t="s">
        <v>157</v>
      </c>
      <c r="B53" s="74">
        <v>2</v>
      </c>
      <c r="C53" s="79"/>
      <c r="D53" s="81">
        <v>34260846.69</v>
      </c>
    </row>
    <row r="54" spans="1:5" ht="21.75">
      <c r="A54" s="78" t="s">
        <v>158</v>
      </c>
      <c r="B54" s="74"/>
      <c r="C54" s="81"/>
      <c r="D54" s="82">
        <v>7138633.59</v>
      </c>
      <c r="E54" s="83"/>
    </row>
    <row r="55" spans="1:5" ht="21.75">
      <c r="A55" s="78" t="s">
        <v>174</v>
      </c>
      <c r="B55" s="74"/>
      <c r="C55" s="81">
        <v>595750</v>
      </c>
      <c r="D55" s="82"/>
      <c r="E55" s="83"/>
    </row>
    <row r="56" spans="1:5" ht="21.75">
      <c r="A56" s="78" t="s">
        <v>175</v>
      </c>
      <c r="B56" s="74"/>
      <c r="C56" s="81">
        <v>16525</v>
      </c>
      <c r="D56" s="82"/>
      <c r="E56" s="83"/>
    </row>
    <row r="57" spans="1:5" ht="21.75">
      <c r="A57" s="78" t="s">
        <v>176</v>
      </c>
      <c r="B57" s="74"/>
      <c r="C57" s="81">
        <v>4792</v>
      </c>
      <c r="D57" s="82"/>
      <c r="E57" s="83"/>
    </row>
    <row r="58" spans="1:5" ht="21.75">
      <c r="A58" s="78" t="s">
        <v>145</v>
      </c>
      <c r="B58" s="74"/>
      <c r="C58" s="67" t="s">
        <v>27</v>
      </c>
      <c r="D58" s="82"/>
      <c r="E58" s="83"/>
    </row>
    <row r="59" spans="1:5" ht="21.75">
      <c r="A59" s="78" t="s">
        <v>127</v>
      </c>
      <c r="B59" s="74"/>
      <c r="C59" s="81">
        <v>1133719</v>
      </c>
      <c r="D59" s="82"/>
      <c r="E59" s="83"/>
    </row>
    <row r="60" spans="1:5" ht="21.75">
      <c r="A60" s="78" t="s">
        <v>177</v>
      </c>
      <c r="B60" s="74"/>
      <c r="C60" s="81">
        <v>55348</v>
      </c>
      <c r="D60" s="82"/>
      <c r="E60" s="83"/>
    </row>
    <row r="61" spans="1:5" ht="21.75">
      <c r="A61" s="78" t="s">
        <v>146</v>
      </c>
      <c r="B61" s="74"/>
      <c r="C61" s="81">
        <v>1143000</v>
      </c>
      <c r="D61" s="82"/>
      <c r="E61" s="83"/>
    </row>
    <row r="62" spans="1:5" ht="21.75">
      <c r="A62" s="78" t="s">
        <v>126</v>
      </c>
      <c r="B62" s="74"/>
      <c r="C62" s="81">
        <v>670199</v>
      </c>
      <c r="D62" s="82"/>
      <c r="E62" s="83"/>
    </row>
    <row r="63" spans="1:5" ht="21.75">
      <c r="A63" s="78" t="s">
        <v>178</v>
      </c>
      <c r="B63" s="74"/>
      <c r="C63" s="81">
        <v>3251539</v>
      </c>
      <c r="D63" s="82"/>
      <c r="E63" s="83"/>
    </row>
    <row r="64" spans="1:5" ht="21.75">
      <c r="A64" s="78" t="s">
        <v>179</v>
      </c>
      <c r="B64" s="74"/>
      <c r="C64" s="81">
        <v>2236500</v>
      </c>
      <c r="D64" s="82"/>
      <c r="E64" s="83"/>
    </row>
    <row r="65" spans="1:5" ht="21.75">
      <c r="A65" s="78" t="s">
        <v>180</v>
      </c>
      <c r="B65" s="74"/>
      <c r="C65" s="81">
        <v>179000</v>
      </c>
      <c r="D65" s="82"/>
      <c r="E65" s="83"/>
    </row>
    <row r="66" spans="1:5" ht="21.75">
      <c r="A66" s="78" t="s">
        <v>144</v>
      </c>
      <c r="B66" s="74"/>
      <c r="C66" s="81">
        <v>183278</v>
      </c>
      <c r="D66" s="85"/>
      <c r="E66" s="83"/>
    </row>
    <row r="67" spans="1:5" ht="21.75">
      <c r="A67" s="66" t="s">
        <v>181</v>
      </c>
      <c r="C67" s="97">
        <v>30</v>
      </c>
      <c r="D67" s="85">
        <v>9469680</v>
      </c>
      <c r="E67" s="83"/>
    </row>
    <row r="68" spans="1:5" ht="22.5" thickBot="1">
      <c r="A68" s="78"/>
      <c r="B68" s="74"/>
      <c r="C68" s="81"/>
      <c r="D68" s="86">
        <v>50869160.28</v>
      </c>
      <c r="E68" s="83"/>
    </row>
    <row r="69" spans="1:5" ht="21.75">
      <c r="A69" s="78"/>
      <c r="B69" s="74"/>
      <c r="C69" s="81"/>
      <c r="D69" s="82"/>
      <c r="E69" s="83"/>
    </row>
    <row r="70" spans="1:4" ht="21.75">
      <c r="A70" s="98" t="s">
        <v>182</v>
      </c>
      <c r="B70" s="74"/>
      <c r="C70" s="81"/>
      <c r="D70" s="81"/>
    </row>
    <row r="71" spans="1:4" ht="21.75">
      <c r="A71" s="78" t="s">
        <v>167</v>
      </c>
      <c r="B71" s="74">
        <v>1</v>
      </c>
      <c r="C71" s="81"/>
      <c r="D71" s="80">
        <v>43505423</v>
      </c>
    </row>
    <row r="72" spans="1:4" ht="21.75">
      <c r="A72" s="78" t="s">
        <v>168</v>
      </c>
      <c r="B72" s="74">
        <v>4</v>
      </c>
      <c r="C72" s="81"/>
      <c r="D72" s="81">
        <v>501900.86</v>
      </c>
    </row>
    <row r="73" spans="1:4" ht="21.75">
      <c r="A73" s="78" t="s">
        <v>183</v>
      </c>
      <c r="B73" s="74">
        <v>5</v>
      </c>
      <c r="C73" s="79"/>
      <c r="D73" s="81">
        <v>17330</v>
      </c>
    </row>
    <row r="74" spans="1:4" ht="21.75">
      <c r="A74" s="78" t="s">
        <v>140</v>
      </c>
      <c r="B74" s="74"/>
      <c r="C74" s="79"/>
      <c r="D74" s="75" t="s">
        <v>27</v>
      </c>
    </row>
    <row r="75" spans="1:4" ht="21.75">
      <c r="A75" s="78" t="s">
        <v>171</v>
      </c>
      <c r="B75" s="74"/>
      <c r="C75" s="79"/>
      <c r="D75" s="81">
        <v>12944830.93</v>
      </c>
    </row>
    <row r="76" spans="1:4" ht="21.75">
      <c r="A76" s="78" t="s">
        <v>172</v>
      </c>
      <c r="B76" s="74">
        <v>7</v>
      </c>
      <c r="C76" s="79"/>
      <c r="D76" s="81">
        <v>14450528.5</v>
      </c>
    </row>
    <row r="77" spans="1:4" ht="21.75">
      <c r="A77" s="78" t="s">
        <v>184</v>
      </c>
      <c r="B77" s="74">
        <v>7</v>
      </c>
      <c r="C77" s="79"/>
      <c r="D77" s="81">
        <v>22954569.99</v>
      </c>
    </row>
    <row r="78" spans="1:4" ht="21.75">
      <c r="A78" s="78"/>
      <c r="B78" s="74"/>
      <c r="C78" s="79"/>
      <c r="D78" s="87">
        <f>SUM(D72:D77)</f>
        <v>50869160.28</v>
      </c>
    </row>
    <row r="79" spans="1:4" ht="21.75">
      <c r="A79" s="78"/>
      <c r="B79" s="74"/>
      <c r="C79" s="79"/>
      <c r="D79" s="81"/>
    </row>
    <row r="80" spans="1:5" ht="21.75">
      <c r="A80" s="90"/>
      <c r="B80" s="74"/>
      <c r="C80" s="91"/>
      <c r="D80" s="92"/>
      <c r="E80" s="88"/>
    </row>
    <row r="81" spans="1:4" ht="21.75">
      <c r="A81" s="89"/>
      <c r="B81" s="74"/>
      <c r="C81" s="81"/>
      <c r="D81" s="81"/>
    </row>
    <row r="82" spans="1:4" ht="21.75">
      <c r="A82" s="78"/>
      <c r="B82" s="74"/>
      <c r="C82" s="79"/>
      <c r="D82" s="81"/>
    </row>
    <row r="83" spans="1:4" ht="21.75">
      <c r="A83" s="78"/>
      <c r="B83" s="74"/>
      <c r="C83" s="79"/>
      <c r="D83" s="81"/>
    </row>
    <row r="84" spans="1:4" ht="21.75">
      <c r="A84" s="78"/>
      <c r="B84" s="74"/>
      <c r="C84" s="79"/>
      <c r="D84" s="81"/>
    </row>
    <row r="85" spans="1:5" ht="21.75">
      <c r="A85" s="90"/>
      <c r="B85" s="74"/>
      <c r="C85" s="91"/>
      <c r="D85" s="91"/>
      <c r="E85" s="88"/>
    </row>
    <row r="86" spans="1:5" ht="21.75">
      <c r="A86" s="90"/>
      <c r="B86" s="74"/>
      <c r="C86" s="91"/>
      <c r="D86" s="92"/>
      <c r="E86" s="88"/>
    </row>
    <row r="87" spans="1:5" ht="21.75">
      <c r="A87" s="93"/>
      <c r="B87" s="74"/>
      <c r="C87" s="79"/>
      <c r="D87" s="94"/>
      <c r="E87" s="95"/>
    </row>
  </sheetData>
  <sheetProtection/>
  <mergeCells count="6">
    <mergeCell ref="A1:E1"/>
    <mergeCell ref="A2:E2"/>
    <mergeCell ref="A3:E3"/>
    <mergeCell ref="A46:E46"/>
    <mergeCell ref="A47:E47"/>
    <mergeCell ref="A48:E48"/>
  </mergeCells>
  <printOptions horizontalCentered="1"/>
  <pageMargins left="0.72" right="0.59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8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140625" style="288" customWidth="1"/>
    <col min="2" max="2" width="3.8515625" style="289" customWidth="1"/>
    <col min="3" max="3" width="40.8515625" style="288" customWidth="1"/>
    <col min="4" max="4" width="7.57421875" style="290" customWidth="1"/>
    <col min="5" max="5" width="13.57421875" style="291" customWidth="1"/>
    <col min="6" max="6" width="12.7109375" style="291" customWidth="1"/>
    <col min="7" max="7" width="13.00390625" style="291" customWidth="1"/>
    <col min="8" max="8" width="5.28125" style="291" customWidth="1"/>
    <col min="9" max="9" width="9.00390625" style="228" customWidth="1"/>
    <col min="10" max="10" width="3.421875" style="228" customWidth="1"/>
    <col min="11" max="11" width="40.8515625" style="228" customWidth="1"/>
    <col min="12" max="12" width="7.57421875" style="228" customWidth="1"/>
    <col min="13" max="13" width="13.57421875" style="228" customWidth="1"/>
    <col min="14" max="14" width="12.00390625" style="228" customWidth="1"/>
    <col min="15" max="15" width="12.140625" style="228" customWidth="1"/>
    <col min="16" max="16384" width="9.00390625" style="228" customWidth="1"/>
  </cols>
  <sheetData>
    <row r="1" spans="1:15" ht="21">
      <c r="A1" s="889" t="s">
        <v>271</v>
      </c>
      <c r="B1" s="889"/>
      <c r="C1" s="889"/>
      <c r="D1" s="889"/>
      <c r="E1" s="889"/>
      <c r="F1" s="889"/>
      <c r="G1" s="889"/>
      <c r="H1" s="227"/>
      <c r="I1" s="889" t="s">
        <v>271</v>
      </c>
      <c r="J1" s="889"/>
      <c r="K1" s="889"/>
      <c r="L1" s="889"/>
      <c r="M1" s="889"/>
      <c r="N1" s="889"/>
      <c r="O1" s="889"/>
    </row>
    <row r="2" spans="1:15" ht="38.25">
      <c r="A2" s="890" t="s">
        <v>71</v>
      </c>
      <c r="B2" s="890"/>
      <c r="C2" s="890"/>
      <c r="D2" s="890"/>
      <c r="E2" s="890"/>
      <c r="F2" s="890"/>
      <c r="G2" s="890"/>
      <c r="H2" s="229"/>
      <c r="I2" s="890" t="s">
        <v>71</v>
      </c>
      <c r="J2" s="890"/>
      <c r="K2" s="890"/>
      <c r="L2" s="890"/>
      <c r="M2" s="890"/>
      <c r="N2" s="890"/>
      <c r="O2" s="890"/>
    </row>
    <row r="3" spans="1:15" ht="27.75">
      <c r="A3" s="891" t="s">
        <v>272</v>
      </c>
      <c r="B3" s="891"/>
      <c r="C3" s="891"/>
      <c r="D3" s="891"/>
      <c r="E3" s="891"/>
      <c r="F3" s="891"/>
      <c r="G3" s="891"/>
      <c r="H3" s="230"/>
      <c r="I3" s="891" t="s">
        <v>272</v>
      </c>
      <c r="J3" s="891"/>
      <c r="K3" s="891"/>
      <c r="L3" s="891"/>
      <c r="M3" s="891"/>
      <c r="N3" s="891"/>
      <c r="O3" s="891"/>
    </row>
    <row r="4" spans="1:15" ht="27.75">
      <c r="A4" s="891" t="s">
        <v>273</v>
      </c>
      <c r="B4" s="891"/>
      <c r="C4" s="891"/>
      <c r="D4" s="891"/>
      <c r="E4" s="891"/>
      <c r="F4" s="891"/>
      <c r="G4" s="891"/>
      <c r="H4" s="230"/>
      <c r="I4" s="891" t="s">
        <v>273</v>
      </c>
      <c r="J4" s="891"/>
      <c r="K4" s="891"/>
      <c r="L4" s="891"/>
      <c r="M4" s="891"/>
      <c r="N4" s="891"/>
      <c r="O4" s="891"/>
    </row>
    <row r="5" spans="1:15" ht="27.75">
      <c r="A5" s="893" t="s">
        <v>274</v>
      </c>
      <c r="B5" s="893"/>
      <c r="C5" s="893"/>
      <c r="D5" s="893"/>
      <c r="E5" s="893"/>
      <c r="F5" s="893"/>
      <c r="G5" s="893"/>
      <c r="H5" s="231"/>
      <c r="I5" s="893" t="s">
        <v>275</v>
      </c>
      <c r="J5" s="893"/>
      <c r="K5" s="893"/>
      <c r="L5" s="893"/>
      <c r="M5" s="893"/>
      <c r="N5" s="893"/>
      <c r="O5" s="893"/>
    </row>
    <row r="6" spans="1:15" ht="23.25">
      <c r="A6" s="232"/>
      <c r="B6" s="233"/>
      <c r="C6" s="234"/>
      <c r="D6" s="235" t="s">
        <v>83</v>
      </c>
      <c r="E6" s="236" t="s">
        <v>33</v>
      </c>
      <c r="F6" s="236" t="s">
        <v>276</v>
      </c>
      <c r="G6" s="236" t="s">
        <v>277</v>
      </c>
      <c r="H6" s="296"/>
      <c r="I6" s="232"/>
      <c r="J6" s="233"/>
      <c r="K6" s="234"/>
      <c r="L6" s="235" t="s">
        <v>83</v>
      </c>
      <c r="M6" s="236" t="s">
        <v>33</v>
      </c>
      <c r="N6" s="236" t="s">
        <v>276</v>
      </c>
      <c r="O6" s="236" t="s">
        <v>277</v>
      </c>
    </row>
    <row r="7" spans="1:15" ht="26.25">
      <c r="A7" s="237" t="s">
        <v>278</v>
      </c>
      <c r="B7" s="238"/>
      <c r="C7" s="239"/>
      <c r="D7" s="240"/>
      <c r="E7" s="241"/>
      <c r="F7" s="241"/>
      <c r="G7" s="242"/>
      <c r="H7" s="242"/>
      <c r="I7" s="237" t="s">
        <v>278</v>
      </c>
      <c r="J7" s="238"/>
      <c r="K7" s="239"/>
      <c r="L7" s="240"/>
      <c r="M7" s="241"/>
      <c r="N7" s="241"/>
      <c r="O7" s="242"/>
    </row>
    <row r="8" spans="1:15" ht="26.25">
      <c r="A8" s="243"/>
      <c r="B8" s="244" t="s">
        <v>279</v>
      </c>
      <c r="C8" s="245"/>
      <c r="D8" s="246" t="s">
        <v>280</v>
      </c>
      <c r="E8" s="247">
        <v>1325000</v>
      </c>
      <c r="F8" s="247"/>
      <c r="G8" s="242"/>
      <c r="H8" s="293"/>
      <c r="I8" s="243"/>
      <c r="J8" s="244" t="s">
        <v>279</v>
      </c>
      <c r="K8" s="245"/>
      <c r="L8" s="246" t="s">
        <v>280</v>
      </c>
      <c r="M8" s="247">
        <v>1325000</v>
      </c>
      <c r="N8" s="247"/>
      <c r="O8" s="242"/>
    </row>
    <row r="9" spans="1:15" ht="23.25">
      <c r="A9" s="243"/>
      <c r="B9" s="248" t="s">
        <v>281</v>
      </c>
      <c r="C9" s="245" t="s">
        <v>282</v>
      </c>
      <c r="D9" s="249" t="s">
        <v>283</v>
      </c>
      <c r="E9" s="242">
        <v>80000</v>
      </c>
      <c r="F9" s="250">
        <v>8395.55</v>
      </c>
      <c r="G9" s="250">
        <v>802825.31</v>
      </c>
      <c r="H9" s="297"/>
      <c r="I9" s="243"/>
      <c r="J9" s="248" t="s">
        <v>281</v>
      </c>
      <c r="K9" s="245" t="s">
        <v>282</v>
      </c>
      <c r="L9" s="249" t="s">
        <v>283</v>
      </c>
      <c r="M9" s="242">
        <v>800000</v>
      </c>
      <c r="N9" s="250">
        <v>15221.5</v>
      </c>
      <c r="O9" s="250">
        <v>818046.81</v>
      </c>
    </row>
    <row r="10" spans="1:15" ht="23.25">
      <c r="A10" s="243"/>
      <c r="B10" s="248" t="s">
        <v>284</v>
      </c>
      <c r="C10" s="245" t="s">
        <v>285</v>
      </c>
      <c r="D10" s="249" t="s">
        <v>286</v>
      </c>
      <c r="E10" s="242">
        <v>45000</v>
      </c>
      <c r="F10" s="251">
        <v>1060.2</v>
      </c>
      <c r="G10" s="251">
        <v>24202.2</v>
      </c>
      <c r="H10" s="298"/>
      <c r="I10" s="243"/>
      <c r="J10" s="248" t="s">
        <v>284</v>
      </c>
      <c r="K10" s="245" t="s">
        <v>285</v>
      </c>
      <c r="L10" s="249" t="s">
        <v>286</v>
      </c>
      <c r="M10" s="242">
        <v>45000</v>
      </c>
      <c r="N10" s="251">
        <v>5812.1</v>
      </c>
      <c r="O10" s="251">
        <v>30014.3</v>
      </c>
    </row>
    <row r="11" spans="1:15" ht="23.25">
      <c r="A11" s="243"/>
      <c r="B11" s="248" t="s">
        <v>287</v>
      </c>
      <c r="C11" s="245" t="s">
        <v>288</v>
      </c>
      <c r="D11" s="249" t="s">
        <v>289</v>
      </c>
      <c r="E11" s="242">
        <v>420000</v>
      </c>
      <c r="F11" s="251">
        <v>12233</v>
      </c>
      <c r="G11" s="251">
        <v>466882</v>
      </c>
      <c r="H11" s="298"/>
      <c r="I11" s="243"/>
      <c r="J11" s="248" t="s">
        <v>287</v>
      </c>
      <c r="K11" s="245" t="s">
        <v>288</v>
      </c>
      <c r="L11" s="249" t="s">
        <v>289</v>
      </c>
      <c r="M11" s="242">
        <v>420000</v>
      </c>
      <c r="N11" s="251">
        <v>3217</v>
      </c>
      <c r="O11" s="251">
        <v>470099</v>
      </c>
    </row>
    <row r="12" spans="1:15" ht="23.25">
      <c r="A12" s="243"/>
      <c r="B12" s="248" t="s">
        <v>290</v>
      </c>
      <c r="C12" s="245" t="s">
        <v>291</v>
      </c>
      <c r="D12" s="249" t="s">
        <v>292</v>
      </c>
      <c r="E12" s="242">
        <v>60000</v>
      </c>
      <c r="F12" s="251">
        <v>4570</v>
      </c>
      <c r="G12" s="251">
        <v>42510</v>
      </c>
      <c r="H12" s="298"/>
      <c r="I12" s="243"/>
      <c r="J12" s="248" t="s">
        <v>290</v>
      </c>
      <c r="K12" s="245" t="s">
        <v>291</v>
      </c>
      <c r="L12" s="249" t="s">
        <v>292</v>
      </c>
      <c r="M12" s="242">
        <v>60000</v>
      </c>
      <c r="N12" s="251">
        <v>5088</v>
      </c>
      <c r="O12" s="251">
        <v>47598</v>
      </c>
    </row>
    <row r="13" spans="1:15" ht="23.25">
      <c r="A13" s="243"/>
      <c r="B13" s="248" t="s">
        <v>293</v>
      </c>
      <c r="C13" s="245" t="s">
        <v>294</v>
      </c>
      <c r="D13" s="249" t="s">
        <v>295</v>
      </c>
      <c r="E13" s="250" t="s">
        <v>27</v>
      </c>
      <c r="F13" s="250" t="s">
        <v>27</v>
      </c>
      <c r="G13" s="250" t="s">
        <v>27</v>
      </c>
      <c r="H13" s="297"/>
      <c r="I13" s="243"/>
      <c r="J13" s="248" t="s">
        <v>293</v>
      </c>
      <c r="K13" s="245" t="s">
        <v>294</v>
      </c>
      <c r="L13" s="249" t="s">
        <v>295</v>
      </c>
      <c r="M13" s="250" t="s">
        <v>27</v>
      </c>
      <c r="N13" s="250" t="s">
        <v>27</v>
      </c>
      <c r="O13" s="250" t="s">
        <v>27</v>
      </c>
    </row>
    <row r="14" spans="1:15" ht="23.25">
      <c r="A14" s="243"/>
      <c r="B14" s="248" t="s">
        <v>296</v>
      </c>
      <c r="C14" s="245" t="s">
        <v>297</v>
      </c>
      <c r="D14" s="249" t="s">
        <v>298</v>
      </c>
      <c r="E14" s="250" t="s">
        <v>27</v>
      </c>
      <c r="F14" s="250" t="s">
        <v>27</v>
      </c>
      <c r="G14" s="250" t="s">
        <v>27</v>
      </c>
      <c r="H14" s="297"/>
      <c r="I14" s="243"/>
      <c r="J14" s="248" t="s">
        <v>296</v>
      </c>
      <c r="K14" s="245" t="s">
        <v>297</v>
      </c>
      <c r="L14" s="249" t="s">
        <v>298</v>
      </c>
      <c r="M14" s="250" t="s">
        <v>27</v>
      </c>
      <c r="N14" s="250" t="s">
        <v>27</v>
      </c>
      <c r="O14" s="250" t="s">
        <v>27</v>
      </c>
    </row>
    <row r="15" spans="1:15" ht="23.25">
      <c r="A15" s="243"/>
      <c r="B15" s="248"/>
      <c r="C15" s="252" t="s">
        <v>34</v>
      </c>
      <c r="D15" s="249"/>
      <c r="E15" s="253">
        <f>SUM(E9:E14)</f>
        <v>605000</v>
      </c>
      <c r="F15" s="254">
        <f>SUM(F9:F14)</f>
        <v>26258.75</v>
      </c>
      <c r="G15" s="254">
        <f>SUM(G9:G14)</f>
        <v>1336419.51</v>
      </c>
      <c r="H15" s="299"/>
      <c r="I15" s="243"/>
      <c r="J15" s="248"/>
      <c r="K15" s="252" t="s">
        <v>34</v>
      </c>
      <c r="L15" s="249"/>
      <c r="M15" s="253">
        <f>SUM(M9:M14)</f>
        <v>1325000</v>
      </c>
      <c r="N15" s="254">
        <f>SUM(N9:N14)</f>
        <v>29338.6</v>
      </c>
      <c r="O15" s="254">
        <f>SUM(O9:O14)</f>
        <v>1365758.11</v>
      </c>
    </row>
    <row r="16" spans="1:15" ht="26.25">
      <c r="A16" s="243"/>
      <c r="B16" s="244" t="s">
        <v>299</v>
      </c>
      <c r="C16" s="245"/>
      <c r="D16" s="246" t="s">
        <v>300</v>
      </c>
      <c r="E16" s="247">
        <v>952000</v>
      </c>
      <c r="F16" s="247"/>
      <c r="G16" s="242"/>
      <c r="H16" s="293"/>
      <c r="I16" s="243"/>
      <c r="J16" s="244" t="s">
        <v>299</v>
      </c>
      <c r="K16" s="245"/>
      <c r="L16" s="246" t="s">
        <v>300</v>
      </c>
      <c r="M16" s="247">
        <v>952000</v>
      </c>
      <c r="N16" s="247"/>
      <c r="O16" s="242"/>
    </row>
    <row r="17" spans="1:15" ht="23.25">
      <c r="A17" s="243"/>
      <c r="B17" s="248" t="s">
        <v>281</v>
      </c>
      <c r="C17" s="245" t="s">
        <v>301</v>
      </c>
      <c r="D17" s="249"/>
      <c r="E17" s="242"/>
      <c r="F17" s="242"/>
      <c r="G17" s="242"/>
      <c r="H17" s="293"/>
      <c r="I17" s="243"/>
      <c r="J17" s="248" t="s">
        <v>281</v>
      </c>
      <c r="K17" s="245" t="s">
        <v>301</v>
      </c>
      <c r="L17" s="249"/>
      <c r="M17" s="242"/>
      <c r="N17" s="242"/>
      <c r="O17" s="242"/>
    </row>
    <row r="18" spans="1:15" ht="23.25">
      <c r="A18" s="243"/>
      <c r="B18" s="248"/>
      <c r="C18" s="245" t="s">
        <v>302</v>
      </c>
      <c r="D18" s="249" t="s">
        <v>303</v>
      </c>
      <c r="E18" s="242">
        <v>95000</v>
      </c>
      <c r="F18" s="242">
        <v>8802</v>
      </c>
      <c r="G18" s="242">
        <v>68481</v>
      </c>
      <c r="H18" s="293"/>
      <c r="I18" s="243"/>
      <c r="J18" s="248"/>
      <c r="K18" s="245" t="s">
        <v>302</v>
      </c>
      <c r="L18" s="249" t="s">
        <v>303</v>
      </c>
      <c r="M18" s="242">
        <v>95000</v>
      </c>
      <c r="N18" s="242">
        <v>7911</v>
      </c>
      <c r="O18" s="242">
        <v>76392</v>
      </c>
    </row>
    <row r="19" spans="1:15" ht="23.25">
      <c r="A19" s="243"/>
      <c r="B19" s="248" t="s">
        <v>284</v>
      </c>
      <c r="C19" s="245" t="s">
        <v>304</v>
      </c>
      <c r="D19" s="249" t="s">
        <v>305</v>
      </c>
      <c r="E19" s="242">
        <v>3500</v>
      </c>
      <c r="F19" s="251">
        <v>402.55</v>
      </c>
      <c r="G19" s="251">
        <v>3197.12</v>
      </c>
      <c r="H19" s="298"/>
      <c r="I19" s="243"/>
      <c r="J19" s="248" t="s">
        <v>284</v>
      </c>
      <c r="K19" s="245" t="s">
        <v>304</v>
      </c>
      <c r="L19" s="249" t="s">
        <v>305</v>
      </c>
      <c r="M19" s="242">
        <v>3500</v>
      </c>
      <c r="N19" s="251">
        <v>72.75</v>
      </c>
      <c r="O19" s="251">
        <v>3269.87</v>
      </c>
    </row>
    <row r="20" spans="1:15" ht="23.25">
      <c r="A20" s="243"/>
      <c r="B20" s="248" t="s">
        <v>287</v>
      </c>
      <c r="C20" s="245" t="s">
        <v>306</v>
      </c>
      <c r="D20" s="249" t="s">
        <v>307</v>
      </c>
      <c r="E20" s="242">
        <v>1000</v>
      </c>
      <c r="F20" s="250" t="s">
        <v>27</v>
      </c>
      <c r="G20" s="250">
        <v>20</v>
      </c>
      <c r="H20" s="297"/>
      <c r="I20" s="243"/>
      <c r="J20" s="248" t="s">
        <v>287</v>
      </c>
      <c r="K20" s="245" t="s">
        <v>306</v>
      </c>
      <c r="L20" s="249" t="s">
        <v>307</v>
      </c>
      <c r="M20" s="242">
        <v>1000</v>
      </c>
      <c r="N20" s="250" t="s">
        <v>27</v>
      </c>
      <c r="O20" s="250">
        <v>20</v>
      </c>
    </row>
    <row r="21" spans="1:15" ht="23.25">
      <c r="A21" s="243"/>
      <c r="B21" s="248" t="s">
        <v>290</v>
      </c>
      <c r="C21" s="245" t="s">
        <v>308</v>
      </c>
      <c r="D21" s="249" t="s">
        <v>309</v>
      </c>
      <c r="E21" s="251">
        <v>1000</v>
      </c>
      <c r="F21" s="250" t="s">
        <v>27</v>
      </c>
      <c r="G21" s="250" t="s">
        <v>27</v>
      </c>
      <c r="H21" s="297"/>
      <c r="I21" s="243"/>
      <c r="J21" s="248" t="s">
        <v>290</v>
      </c>
      <c r="K21" s="245" t="s">
        <v>308</v>
      </c>
      <c r="L21" s="249" t="s">
        <v>309</v>
      </c>
      <c r="M21" s="251">
        <v>1000</v>
      </c>
      <c r="N21" s="250" t="s">
        <v>27</v>
      </c>
      <c r="O21" s="250" t="s">
        <v>27</v>
      </c>
    </row>
    <row r="22" spans="1:15" ht="23.25">
      <c r="A22" s="243"/>
      <c r="B22" s="248" t="s">
        <v>293</v>
      </c>
      <c r="C22" s="245" t="s">
        <v>310</v>
      </c>
      <c r="D22" s="249" t="s">
        <v>311</v>
      </c>
      <c r="E22" s="251">
        <v>1000</v>
      </c>
      <c r="F22" s="250" t="s">
        <v>27</v>
      </c>
      <c r="G22" s="250" t="s">
        <v>27</v>
      </c>
      <c r="H22" s="297"/>
      <c r="I22" s="243"/>
      <c r="J22" s="248" t="s">
        <v>293</v>
      </c>
      <c r="K22" s="245" t="s">
        <v>310</v>
      </c>
      <c r="L22" s="249" t="s">
        <v>311</v>
      </c>
      <c r="M22" s="251">
        <v>1000</v>
      </c>
      <c r="N22" s="250" t="s">
        <v>27</v>
      </c>
      <c r="O22" s="250" t="s">
        <v>27</v>
      </c>
    </row>
    <row r="23" spans="1:15" ht="23.25">
      <c r="A23" s="243"/>
      <c r="B23" s="248" t="s">
        <v>296</v>
      </c>
      <c r="C23" s="245" t="s">
        <v>312</v>
      </c>
      <c r="D23" s="249" t="s">
        <v>313</v>
      </c>
      <c r="E23" s="242">
        <v>350000</v>
      </c>
      <c r="F23" s="242">
        <v>20300</v>
      </c>
      <c r="G23" s="242">
        <v>313835</v>
      </c>
      <c r="H23" s="293"/>
      <c r="I23" s="243"/>
      <c r="J23" s="248" t="s">
        <v>296</v>
      </c>
      <c r="K23" s="245" t="s">
        <v>312</v>
      </c>
      <c r="L23" s="249" t="s">
        <v>313</v>
      </c>
      <c r="M23" s="242">
        <v>350000</v>
      </c>
      <c r="N23" s="242">
        <v>6060</v>
      </c>
      <c r="O23" s="242">
        <v>319895</v>
      </c>
    </row>
    <row r="24" spans="1:15" ht="23.25">
      <c r="A24" s="243"/>
      <c r="B24" s="248" t="s">
        <v>314</v>
      </c>
      <c r="C24" s="245" t="s">
        <v>315</v>
      </c>
      <c r="D24" s="249" t="s">
        <v>316</v>
      </c>
      <c r="E24" s="255" t="s">
        <v>27</v>
      </c>
      <c r="F24" s="255" t="s">
        <v>27</v>
      </c>
      <c r="G24" s="255" t="s">
        <v>27</v>
      </c>
      <c r="H24" s="300"/>
      <c r="I24" s="243"/>
      <c r="J24" s="248" t="s">
        <v>314</v>
      </c>
      <c r="K24" s="245" t="s">
        <v>315</v>
      </c>
      <c r="L24" s="249" t="s">
        <v>316</v>
      </c>
      <c r="M24" s="255" t="s">
        <v>27</v>
      </c>
      <c r="N24" s="250">
        <v>0</v>
      </c>
      <c r="O24" s="250">
        <v>0</v>
      </c>
    </row>
    <row r="25" spans="1:15" ht="23.25">
      <c r="A25" s="243"/>
      <c r="B25" s="248" t="s">
        <v>317</v>
      </c>
      <c r="C25" s="245" t="s">
        <v>318</v>
      </c>
      <c r="D25" s="249"/>
      <c r="E25" s="255"/>
      <c r="F25" s="242"/>
      <c r="G25" s="242"/>
      <c r="H25" s="293"/>
      <c r="I25" s="243"/>
      <c r="J25" s="248" t="s">
        <v>317</v>
      </c>
      <c r="K25" s="245" t="s">
        <v>318</v>
      </c>
      <c r="L25" s="249"/>
      <c r="M25" s="255"/>
      <c r="N25" s="242"/>
      <c r="O25" s="242"/>
    </row>
    <row r="26" spans="1:15" ht="23.25">
      <c r="A26" s="243"/>
      <c r="B26" s="248"/>
      <c r="C26" s="245" t="s">
        <v>319</v>
      </c>
      <c r="D26" s="249"/>
      <c r="E26" s="255"/>
      <c r="F26" s="242"/>
      <c r="G26" s="242"/>
      <c r="H26" s="293"/>
      <c r="I26" s="243"/>
      <c r="J26" s="248"/>
      <c r="K26" s="245" t="s">
        <v>319</v>
      </c>
      <c r="L26" s="249"/>
      <c r="M26" s="255"/>
      <c r="N26" s="242"/>
      <c r="O26" s="242"/>
    </row>
    <row r="27" spans="1:15" ht="23.25">
      <c r="A27" s="243"/>
      <c r="B27" s="248"/>
      <c r="C27" s="245" t="s">
        <v>320</v>
      </c>
      <c r="D27" s="249" t="s">
        <v>321</v>
      </c>
      <c r="E27" s="250">
        <v>0</v>
      </c>
      <c r="F27" s="250">
        <v>0</v>
      </c>
      <c r="G27" s="250">
        <v>0</v>
      </c>
      <c r="H27" s="297"/>
      <c r="I27" s="243"/>
      <c r="J27" s="248"/>
      <c r="K27" s="245" t="s">
        <v>320</v>
      </c>
      <c r="L27" s="249" t="s">
        <v>321</v>
      </c>
      <c r="M27" s="250">
        <v>0</v>
      </c>
      <c r="N27" s="250">
        <v>0</v>
      </c>
      <c r="O27" s="250">
        <v>0</v>
      </c>
    </row>
    <row r="28" spans="1:15" ht="23.25">
      <c r="A28" s="243"/>
      <c r="B28" s="248" t="s">
        <v>322</v>
      </c>
      <c r="C28" s="245" t="s">
        <v>323</v>
      </c>
      <c r="D28" s="249" t="s">
        <v>324</v>
      </c>
      <c r="E28" s="250">
        <v>0</v>
      </c>
      <c r="F28" s="250">
        <v>0</v>
      </c>
      <c r="G28" s="250">
        <v>0</v>
      </c>
      <c r="H28" s="297"/>
      <c r="I28" s="243"/>
      <c r="J28" s="248" t="s">
        <v>322</v>
      </c>
      <c r="K28" s="245" t="s">
        <v>323</v>
      </c>
      <c r="L28" s="249" t="s">
        <v>324</v>
      </c>
      <c r="M28" s="250">
        <v>0</v>
      </c>
      <c r="N28" s="250">
        <v>0</v>
      </c>
      <c r="O28" s="250">
        <v>0</v>
      </c>
    </row>
    <row r="29" spans="1:15" ht="23.25">
      <c r="A29" s="243"/>
      <c r="B29" s="248" t="s">
        <v>325</v>
      </c>
      <c r="C29" s="245" t="s">
        <v>326</v>
      </c>
      <c r="D29" s="249"/>
      <c r="E29" s="250"/>
      <c r="F29" s="242"/>
      <c r="G29" s="242"/>
      <c r="H29" s="293"/>
      <c r="I29" s="243"/>
      <c r="J29" s="248" t="s">
        <v>325</v>
      </c>
      <c r="K29" s="245" t="s">
        <v>326</v>
      </c>
      <c r="L29" s="249"/>
      <c r="M29" s="250"/>
      <c r="N29" s="242"/>
      <c r="O29" s="242"/>
    </row>
    <row r="30" spans="1:15" ht="23.25">
      <c r="A30" s="243"/>
      <c r="B30" s="248"/>
      <c r="C30" s="245" t="s">
        <v>327</v>
      </c>
      <c r="D30" s="249" t="s">
        <v>328</v>
      </c>
      <c r="E30" s="251">
        <v>3000</v>
      </c>
      <c r="F30" s="250">
        <v>0</v>
      </c>
      <c r="G30" s="250">
        <v>0</v>
      </c>
      <c r="H30" s="297"/>
      <c r="I30" s="243"/>
      <c r="J30" s="248"/>
      <c r="K30" s="245" t="s">
        <v>327</v>
      </c>
      <c r="L30" s="249" t="s">
        <v>328</v>
      </c>
      <c r="M30" s="251">
        <v>3000</v>
      </c>
      <c r="N30" s="250">
        <v>0</v>
      </c>
      <c r="O30" s="250">
        <v>0</v>
      </c>
    </row>
    <row r="31" spans="1:15" ht="23.25">
      <c r="A31" s="243"/>
      <c r="B31" s="248" t="s">
        <v>329</v>
      </c>
      <c r="C31" s="245" t="s">
        <v>330</v>
      </c>
      <c r="D31" s="249" t="s">
        <v>331</v>
      </c>
      <c r="E31" s="251">
        <v>3000</v>
      </c>
      <c r="F31" s="251">
        <v>110</v>
      </c>
      <c r="G31" s="251">
        <v>1650</v>
      </c>
      <c r="H31" s="298"/>
      <c r="I31" s="243"/>
      <c r="J31" s="248" t="s">
        <v>329</v>
      </c>
      <c r="K31" s="245" t="s">
        <v>330</v>
      </c>
      <c r="L31" s="249" t="s">
        <v>331</v>
      </c>
      <c r="M31" s="251">
        <v>3000</v>
      </c>
      <c r="N31" s="251">
        <v>390</v>
      </c>
      <c r="O31" s="251">
        <v>2040</v>
      </c>
    </row>
    <row r="32" spans="1:15" ht="23.25">
      <c r="A32" s="243"/>
      <c r="B32" s="248" t="s">
        <v>332</v>
      </c>
      <c r="C32" s="245" t="s">
        <v>333</v>
      </c>
      <c r="D32" s="249" t="s">
        <v>334</v>
      </c>
      <c r="E32" s="250">
        <v>0</v>
      </c>
      <c r="F32" s="250">
        <v>0</v>
      </c>
      <c r="G32" s="250">
        <v>0</v>
      </c>
      <c r="H32" s="297"/>
      <c r="I32" s="243"/>
      <c r="J32" s="248" t="s">
        <v>332</v>
      </c>
      <c r="K32" s="245" t="s">
        <v>333</v>
      </c>
      <c r="L32" s="249" t="s">
        <v>334</v>
      </c>
      <c r="M32" s="250">
        <v>0</v>
      </c>
      <c r="N32" s="250">
        <v>0</v>
      </c>
      <c r="O32" s="250"/>
    </row>
    <row r="33" spans="1:15" ht="23.25">
      <c r="A33" s="243"/>
      <c r="B33" s="248" t="s">
        <v>335</v>
      </c>
      <c r="C33" s="245" t="s">
        <v>336</v>
      </c>
      <c r="D33" s="249" t="s">
        <v>337</v>
      </c>
      <c r="E33" s="251">
        <v>500</v>
      </c>
      <c r="F33" s="250">
        <v>0</v>
      </c>
      <c r="G33" s="250">
        <v>0</v>
      </c>
      <c r="H33" s="297"/>
      <c r="I33" s="243"/>
      <c r="J33" s="248" t="s">
        <v>335</v>
      </c>
      <c r="K33" s="245" t="s">
        <v>336</v>
      </c>
      <c r="L33" s="249" t="s">
        <v>337</v>
      </c>
      <c r="M33" s="251">
        <v>500</v>
      </c>
      <c r="N33" s="250">
        <v>0</v>
      </c>
      <c r="O33" s="250">
        <v>0</v>
      </c>
    </row>
    <row r="34" spans="1:15" ht="23.25">
      <c r="A34" s="243"/>
      <c r="B34" s="248" t="s">
        <v>338</v>
      </c>
      <c r="C34" s="245" t="s">
        <v>339</v>
      </c>
      <c r="D34" s="249"/>
      <c r="E34" s="242"/>
      <c r="F34" s="251"/>
      <c r="G34" s="251"/>
      <c r="H34" s="298"/>
      <c r="I34" s="243"/>
      <c r="J34" s="248" t="s">
        <v>338</v>
      </c>
      <c r="K34" s="245" t="s">
        <v>339</v>
      </c>
      <c r="L34" s="249"/>
      <c r="M34" s="242"/>
      <c r="N34" s="251"/>
      <c r="O34" s="251"/>
    </row>
    <row r="35" spans="1:15" ht="23.25">
      <c r="A35" s="243"/>
      <c r="B35" s="248"/>
      <c r="C35" s="245" t="s">
        <v>340</v>
      </c>
      <c r="D35" s="249" t="s">
        <v>341</v>
      </c>
      <c r="E35" s="251">
        <v>1000</v>
      </c>
      <c r="F35" s="250">
        <v>0</v>
      </c>
      <c r="G35" s="250">
        <v>0</v>
      </c>
      <c r="H35" s="297"/>
      <c r="I35" s="243"/>
      <c r="J35" s="248"/>
      <c r="K35" s="245" t="s">
        <v>340</v>
      </c>
      <c r="L35" s="249" t="s">
        <v>341</v>
      </c>
      <c r="M35" s="251">
        <v>1000</v>
      </c>
      <c r="N35" s="250">
        <v>0</v>
      </c>
      <c r="O35" s="250">
        <v>0</v>
      </c>
    </row>
    <row r="36" spans="1:15" ht="23.25">
      <c r="A36" s="243"/>
      <c r="B36" s="248" t="s">
        <v>342</v>
      </c>
      <c r="C36" s="245" t="s">
        <v>343</v>
      </c>
      <c r="D36" s="249" t="s">
        <v>344</v>
      </c>
      <c r="E36" s="250">
        <v>0</v>
      </c>
      <c r="F36" s="250">
        <v>0</v>
      </c>
      <c r="G36" s="250">
        <v>0</v>
      </c>
      <c r="H36" s="297"/>
      <c r="I36" s="243"/>
      <c r="J36" s="248" t="s">
        <v>342</v>
      </c>
      <c r="K36" s="245" t="s">
        <v>343</v>
      </c>
      <c r="L36" s="249" t="s">
        <v>344</v>
      </c>
      <c r="M36" s="250">
        <v>0</v>
      </c>
      <c r="N36" s="250">
        <v>0</v>
      </c>
      <c r="O36" s="250">
        <v>0</v>
      </c>
    </row>
    <row r="37" spans="1:15" ht="23.25">
      <c r="A37" s="243"/>
      <c r="B37" s="248" t="s">
        <v>345</v>
      </c>
      <c r="C37" s="245" t="s">
        <v>346</v>
      </c>
      <c r="D37" s="249"/>
      <c r="E37" s="250"/>
      <c r="F37" s="250"/>
      <c r="G37" s="250"/>
      <c r="H37" s="297"/>
      <c r="I37" s="243"/>
      <c r="J37" s="248" t="s">
        <v>345</v>
      </c>
      <c r="K37" s="245" t="s">
        <v>346</v>
      </c>
      <c r="L37" s="249"/>
      <c r="M37" s="250"/>
      <c r="N37" s="250"/>
      <c r="O37" s="250"/>
    </row>
    <row r="38" spans="1:15" ht="23.25">
      <c r="A38" s="256"/>
      <c r="B38" s="257"/>
      <c r="C38" s="258" t="s">
        <v>347</v>
      </c>
      <c r="D38" s="259" t="s">
        <v>348</v>
      </c>
      <c r="E38" s="260">
        <v>1000</v>
      </c>
      <c r="F38" s="261">
        <v>0</v>
      </c>
      <c r="G38" s="261">
        <v>0</v>
      </c>
      <c r="H38" s="301"/>
      <c r="I38" s="256"/>
      <c r="J38" s="257"/>
      <c r="K38" s="258" t="s">
        <v>347</v>
      </c>
      <c r="L38" s="259" t="s">
        <v>348</v>
      </c>
      <c r="M38" s="260">
        <v>1000</v>
      </c>
      <c r="N38" s="261">
        <v>0</v>
      </c>
      <c r="O38" s="261">
        <v>0</v>
      </c>
    </row>
    <row r="39" spans="1:15" ht="23.25">
      <c r="A39" s="232"/>
      <c r="B39" s="233"/>
      <c r="C39" s="234"/>
      <c r="D39" s="235" t="s">
        <v>83</v>
      </c>
      <c r="E39" s="262" t="s">
        <v>33</v>
      </c>
      <c r="F39" s="262" t="s">
        <v>349</v>
      </c>
      <c r="G39" s="262" t="s">
        <v>277</v>
      </c>
      <c r="H39" s="302"/>
      <c r="I39" s="232"/>
      <c r="J39" s="233"/>
      <c r="K39" s="234"/>
      <c r="L39" s="235" t="s">
        <v>83</v>
      </c>
      <c r="M39" s="262" t="s">
        <v>33</v>
      </c>
      <c r="N39" s="262" t="s">
        <v>349</v>
      </c>
      <c r="O39" s="262" t="s">
        <v>277</v>
      </c>
    </row>
    <row r="40" spans="1:15" ht="23.25">
      <c r="A40" s="263"/>
      <c r="B40" s="264" t="s">
        <v>350</v>
      </c>
      <c r="C40" s="245" t="s">
        <v>351</v>
      </c>
      <c r="D40" s="240" t="s">
        <v>352</v>
      </c>
      <c r="E40" s="265">
        <v>100000</v>
      </c>
      <c r="F40" s="265">
        <v>4200</v>
      </c>
      <c r="G40" s="265">
        <v>68335</v>
      </c>
      <c r="H40" s="303"/>
      <c r="I40" s="263"/>
      <c r="J40" s="264" t="s">
        <v>350</v>
      </c>
      <c r="K40" s="245" t="s">
        <v>351</v>
      </c>
      <c r="L40" s="240" t="s">
        <v>352</v>
      </c>
      <c r="M40" s="265">
        <v>100000</v>
      </c>
      <c r="N40" s="265">
        <v>15050</v>
      </c>
      <c r="O40" s="265">
        <v>83385</v>
      </c>
    </row>
    <row r="41" spans="1:15" ht="23.25">
      <c r="A41" s="243"/>
      <c r="B41" s="248" t="s">
        <v>353</v>
      </c>
      <c r="C41" s="245" t="s">
        <v>354</v>
      </c>
      <c r="D41" s="249" t="s">
        <v>355</v>
      </c>
      <c r="E41" s="251">
        <v>1000</v>
      </c>
      <c r="F41" s="250" t="s">
        <v>27</v>
      </c>
      <c r="G41" s="250" t="s">
        <v>27</v>
      </c>
      <c r="H41" s="297"/>
      <c r="I41" s="243"/>
      <c r="J41" s="248" t="s">
        <v>353</v>
      </c>
      <c r="K41" s="245" t="s">
        <v>354</v>
      </c>
      <c r="L41" s="249" t="s">
        <v>355</v>
      </c>
      <c r="M41" s="251">
        <v>1000</v>
      </c>
      <c r="N41" s="250">
        <v>0</v>
      </c>
      <c r="O41" s="250">
        <v>0</v>
      </c>
    </row>
    <row r="42" spans="1:15" ht="23.25">
      <c r="A42" s="243"/>
      <c r="B42" s="248" t="s">
        <v>356</v>
      </c>
      <c r="C42" s="245" t="s">
        <v>357</v>
      </c>
      <c r="D42" s="249" t="s">
        <v>358</v>
      </c>
      <c r="E42" s="242">
        <v>1000</v>
      </c>
      <c r="F42" s="250" t="s">
        <v>27</v>
      </c>
      <c r="G42" s="250" t="s">
        <v>27</v>
      </c>
      <c r="H42" s="297"/>
      <c r="I42" s="243"/>
      <c r="J42" s="248" t="s">
        <v>356</v>
      </c>
      <c r="K42" s="245" t="s">
        <v>357</v>
      </c>
      <c r="L42" s="249" t="s">
        <v>358</v>
      </c>
      <c r="M42" s="242">
        <v>1000</v>
      </c>
      <c r="N42" s="250">
        <v>0</v>
      </c>
      <c r="O42" s="250">
        <v>0</v>
      </c>
    </row>
    <row r="43" spans="1:15" ht="23.25">
      <c r="A43" s="243"/>
      <c r="B43" s="248" t="s">
        <v>359</v>
      </c>
      <c r="C43" s="245" t="s">
        <v>360</v>
      </c>
      <c r="D43" s="249" t="s">
        <v>361</v>
      </c>
      <c r="E43" s="251">
        <v>100000</v>
      </c>
      <c r="F43" s="250">
        <v>20</v>
      </c>
      <c r="G43" s="250">
        <v>117444</v>
      </c>
      <c r="H43" s="297"/>
      <c r="I43" s="243"/>
      <c r="J43" s="248" t="s">
        <v>359</v>
      </c>
      <c r="K43" s="245" t="s">
        <v>360</v>
      </c>
      <c r="L43" s="249" t="s">
        <v>361</v>
      </c>
      <c r="M43" s="251">
        <v>100000</v>
      </c>
      <c r="N43" s="250">
        <v>0</v>
      </c>
      <c r="O43" s="250">
        <v>117444</v>
      </c>
    </row>
    <row r="44" spans="1:15" ht="23.25">
      <c r="A44" s="243"/>
      <c r="B44" s="248" t="s">
        <v>362</v>
      </c>
      <c r="C44" s="245" t="s">
        <v>363</v>
      </c>
      <c r="D44" s="249" t="s">
        <v>364</v>
      </c>
      <c r="E44" s="251">
        <v>20000</v>
      </c>
      <c r="F44" s="250" t="s">
        <v>27</v>
      </c>
      <c r="G44" s="250">
        <v>7400</v>
      </c>
      <c r="H44" s="297"/>
      <c r="I44" s="243"/>
      <c r="J44" s="248" t="s">
        <v>362</v>
      </c>
      <c r="K44" s="245" t="s">
        <v>363</v>
      </c>
      <c r="L44" s="249" t="s">
        <v>364</v>
      </c>
      <c r="M44" s="251">
        <v>20000</v>
      </c>
      <c r="N44" s="250">
        <v>265</v>
      </c>
      <c r="O44" s="250">
        <v>7665</v>
      </c>
    </row>
    <row r="45" spans="1:15" ht="23.25">
      <c r="A45" s="243"/>
      <c r="B45" s="248" t="s">
        <v>365</v>
      </c>
      <c r="C45" s="245" t="s">
        <v>366</v>
      </c>
      <c r="D45" s="249"/>
      <c r="E45" s="250"/>
      <c r="F45" s="250"/>
      <c r="G45" s="250"/>
      <c r="H45" s="297"/>
      <c r="I45" s="243"/>
      <c r="J45" s="248" t="s">
        <v>365</v>
      </c>
      <c r="K45" s="245" t="s">
        <v>366</v>
      </c>
      <c r="L45" s="249"/>
      <c r="M45" s="250"/>
      <c r="N45" s="250"/>
      <c r="O45" s="250"/>
    </row>
    <row r="46" spans="1:15" ht="23.25">
      <c r="A46" s="243"/>
      <c r="B46" s="248"/>
      <c r="C46" s="245" t="s">
        <v>367</v>
      </c>
      <c r="D46" s="249" t="s">
        <v>368</v>
      </c>
      <c r="E46" s="251">
        <v>90000</v>
      </c>
      <c r="F46" s="250" t="s">
        <v>27</v>
      </c>
      <c r="G46" s="250" t="s">
        <v>27</v>
      </c>
      <c r="H46" s="297"/>
      <c r="I46" s="243"/>
      <c r="J46" s="248"/>
      <c r="K46" s="245" t="s">
        <v>367</v>
      </c>
      <c r="L46" s="249" t="s">
        <v>368</v>
      </c>
      <c r="M46" s="251">
        <v>90000</v>
      </c>
      <c r="N46" s="250">
        <v>0</v>
      </c>
      <c r="O46" s="250">
        <v>0</v>
      </c>
    </row>
    <row r="47" spans="1:15" ht="23.25">
      <c r="A47" s="243"/>
      <c r="B47" s="248" t="s">
        <v>369</v>
      </c>
      <c r="C47" s="245" t="s">
        <v>370</v>
      </c>
      <c r="D47" s="249" t="s">
        <v>371</v>
      </c>
      <c r="E47" s="250" t="s">
        <v>27</v>
      </c>
      <c r="F47" s="250" t="s">
        <v>27</v>
      </c>
      <c r="G47" s="250" t="s">
        <v>27</v>
      </c>
      <c r="H47" s="297"/>
      <c r="I47" s="243"/>
      <c r="J47" s="248" t="s">
        <v>369</v>
      </c>
      <c r="K47" s="245" t="s">
        <v>370</v>
      </c>
      <c r="L47" s="249" t="s">
        <v>371</v>
      </c>
      <c r="M47" s="250">
        <v>0</v>
      </c>
      <c r="N47" s="250">
        <v>0</v>
      </c>
      <c r="O47" s="250">
        <v>0</v>
      </c>
    </row>
    <row r="48" spans="1:15" ht="23.25">
      <c r="A48" s="243"/>
      <c r="B48" s="248" t="s">
        <v>372</v>
      </c>
      <c r="C48" s="245" t="s">
        <v>373</v>
      </c>
      <c r="D48" s="249"/>
      <c r="E48" s="250"/>
      <c r="F48" s="250"/>
      <c r="G48" s="250"/>
      <c r="H48" s="297"/>
      <c r="I48" s="243"/>
      <c r="J48" s="248" t="s">
        <v>372</v>
      </c>
      <c r="K48" s="245" t="s">
        <v>373</v>
      </c>
      <c r="L48" s="249"/>
      <c r="M48" s="250"/>
      <c r="N48" s="250"/>
      <c r="O48" s="250"/>
    </row>
    <row r="49" spans="1:15" ht="23.25">
      <c r="A49" s="243"/>
      <c r="B49" s="248"/>
      <c r="C49" s="245" t="s">
        <v>374</v>
      </c>
      <c r="D49" s="249"/>
      <c r="E49" s="250"/>
      <c r="F49" s="250"/>
      <c r="G49" s="250"/>
      <c r="H49" s="297"/>
      <c r="I49" s="243"/>
      <c r="J49" s="248"/>
      <c r="K49" s="245" t="s">
        <v>374</v>
      </c>
      <c r="L49" s="249"/>
      <c r="M49" s="250"/>
      <c r="N49" s="250"/>
      <c r="O49" s="250"/>
    </row>
    <row r="50" spans="1:15" ht="23.25">
      <c r="A50" s="243"/>
      <c r="B50" s="248"/>
      <c r="C50" s="245" t="s">
        <v>375</v>
      </c>
      <c r="D50" s="249" t="s">
        <v>376</v>
      </c>
      <c r="E50" s="250" t="s">
        <v>27</v>
      </c>
      <c r="F50" s="250" t="s">
        <v>27</v>
      </c>
      <c r="G50" s="250" t="s">
        <v>27</v>
      </c>
      <c r="H50" s="297"/>
      <c r="I50" s="243"/>
      <c r="J50" s="248"/>
      <c r="K50" s="245" t="s">
        <v>375</v>
      </c>
      <c r="L50" s="249" t="s">
        <v>376</v>
      </c>
      <c r="M50" s="242">
        <v>0</v>
      </c>
      <c r="N50" s="242">
        <v>0</v>
      </c>
      <c r="O50" s="242">
        <v>0</v>
      </c>
    </row>
    <row r="51" spans="1:15" ht="23.25">
      <c r="A51" s="243"/>
      <c r="B51" s="248" t="s">
        <v>377</v>
      </c>
      <c r="C51" s="245" t="s">
        <v>378</v>
      </c>
      <c r="D51" s="249" t="s">
        <v>379</v>
      </c>
      <c r="E51" s="250" t="s">
        <v>27</v>
      </c>
      <c r="F51" s="250" t="s">
        <v>27</v>
      </c>
      <c r="G51" s="250" t="s">
        <v>27</v>
      </c>
      <c r="H51" s="297"/>
      <c r="I51" s="243"/>
      <c r="J51" s="248" t="s">
        <v>377</v>
      </c>
      <c r="K51" s="245" t="s">
        <v>378</v>
      </c>
      <c r="L51" s="249" t="s">
        <v>379</v>
      </c>
      <c r="M51" s="251">
        <v>0</v>
      </c>
      <c r="N51" s="251">
        <v>0</v>
      </c>
      <c r="O51" s="251">
        <v>0</v>
      </c>
    </row>
    <row r="52" spans="1:15" ht="23.25">
      <c r="A52" s="243"/>
      <c r="B52" s="248" t="s">
        <v>380</v>
      </c>
      <c r="C52" s="245" t="s">
        <v>381</v>
      </c>
      <c r="D52" s="249" t="s">
        <v>382</v>
      </c>
      <c r="E52" s="251">
        <v>55000</v>
      </c>
      <c r="F52" s="251">
        <v>2211</v>
      </c>
      <c r="G52" s="251">
        <v>16608</v>
      </c>
      <c r="H52" s="298"/>
      <c r="I52" s="243"/>
      <c r="J52" s="248" t="s">
        <v>380</v>
      </c>
      <c r="K52" s="245" t="s">
        <v>381</v>
      </c>
      <c r="L52" s="249" t="s">
        <v>382</v>
      </c>
      <c r="M52" s="242">
        <v>55000</v>
      </c>
      <c r="N52" s="251">
        <v>1565</v>
      </c>
      <c r="O52" s="251">
        <v>18173</v>
      </c>
    </row>
    <row r="53" spans="1:15" ht="23.25">
      <c r="A53" s="243"/>
      <c r="B53" s="248" t="s">
        <v>383</v>
      </c>
      <c r="C53" s="245" t="s">
        <v>384</v>
      </c>
      <c r="D53" s="249" t="s">
        <v>385</v>
      </c>
      <c r="E53" s="242">
        <v>5000</v>
      </c>
      <c r="F53" s="242">
        <v>405</v>
      </c>
      <c r="G53" s="242">
        <v>2595</v>
      </c>
      <c r="H53" s="293"/>
      <c r="I53" s="243"/>
      <c r="J53" s="248" t="s">
        <v>383</v>
      </c>
      <c r="K53" s="245" t="s">
        <v>384</v>
      </c>
      <c r="L53" s="249" t="s">
        <v>385</v>
      </c>
      <c r="M53" s="242">
        <v>5000</v>
      </c>
      <c r="N53" s="242">
        <v>480</v>
      </c>
      <c r="O53" s="242">
        <v>3075</v>
      </c>
    </row>
    <row r="54" spans="1:15" ht="23.25">
      <c r="A54" s="243"/>
      <c r="B54" s="248" t="s">
        <v>386</v>
      </c>
      <c r="C54" s="245" t="s">
        <v>387</v>
      </c>
      <c r="D54" s="249" t="s">
        <v>388</v>
      </c>
      <c r="E54" s="250" t="s">
        <v>27</v>
      </c>
      <c r="F54" s="250" t="s">
        <v>27</v>
      </c>
      <c r="G54" s="250" t="s">
        <v>27</v>
      </c>
      <c r="H54" s="297"/>
      <c r="I54" s="243"/>
      <c r="J54" s="248" t="s">
        <v>386</v>
      </c>
      <c r="K54" s="245" t="s">
        <v>387</v>
      </c>
      <c r="L54" s="249" t="s">
        <v>388</v>
      </c>
      <c r="M54" s="251">
        <v>0</v>
      </c>
      <c r="N54" s="250">
        <v>0</v>
      </c>
      <c r="O54" s="250">
        <v>0</v>
      </c>
    </row>
    <row r="55" spans="1:15" ht="23.25">
      <c r="A55" s="243"/>
      <c r="B55" s="248" t="s">
        <v>389</v>
      </c>
      <c r="C55" s="245" t="s">
        <v>390</v>
      </c>
      <c r="D55" s="249" t="s">
        <v>27</v>
      </c>
      <c r="E55" s="251">
        <v>30000</v>
      </c>
      <c r="F55" s="250" t="s">
        <v>27</v>
      </c>
      <c r="G55" s="251">
        <v>9500</v>
      </c>
      <c r="H55" s="298"/>
      <c r="I55" s="243"/>
      <c r="J55" s="248" t="s">
        <v>389</v>
      </c>
      <c r="K55" s="245" t="s">
        <v>390</v>
      </c>
      <c r="L55" s="249" t="s">
        <v>27</v>
      </c>
      <c r="M55" s="251">
        <v>30000</v>
      </c>
      <c r="N55" s="251">
        <v>7000</v>
      </c>
      <c r="O55" s="251">
        <v>16500</v>
      </c>
    </row>
    <row r="56" spans="1:15" ht="23.25">
      <c r="A56" s="243"/>
      <c r="B56" s="248" t="s">
        <v>391</v>
      </c>
      <c r="C56" s="245" t="s">
        <v>392</v>
      </c>
      <c r="D56" s="249" t="s">
        <v>27</v>
      </c>
      <c r="E56" s="250" t="s">
        <v>27</v>
      </c>
      <c r="F56" s="251">
        <v>250</v>
      </c>
      <c r="G56" s="251">
        <v>62450</v>
      </c>
      <c r="H56" s="298"/>
      <c r="I56" s="243"/>
      <c r="J56" s="248" t="s">
        <v>391</v>
      </c>
      <c r="K56" s="245" t="s">
        <v>393</v>
      </c>
      <c r="L56" s="249" t="s">
        <v>27</v>
      </c>
      <c r="M56" s="242">
        <v>0</v>
      </c>
      <c r="N56" s="251">
        <v>3450</v>
      </c>
      <c r="O56" s="251">
        <v>65900</v>
      </c>
    </row>
    <row r="57" spans="1:15" ht="23.25">
      <c r="A57" s="243"/>
      <c r="B57" s="248" t="s">
        <v>394</v>
      </c>
      <c r="C57" s="245" t="s">
        <v>395</v>
      </c>
      <c r="D57" s="249" t="s">
        <v>27</v>
      </c>
      <c r="E57" s="242">
        <v>50000</v>
      </c>
      <c r="F57" s="242">
        <v>340</v>
      </c>
      <c r="G57" s="242">
        <v>1710</v>
      </c>
      <c r="H57" s="293"/>
      <c r="I57" s="243"/>
      <c r="J57" s="248" t="s">
        <v>394</v>
      </c>
      <c r="K57" s="245" t="s">
        <v>396</v>
      </c>
      <c r="L57" s="249" t="s">
        <v>27</v>
      </c>
      <c r="M57" s="242">
        <v>50000</v>
      </c>
      <c r="N57" s="242">
        <v>220</v>
      </c>
      <c r="O57" s="242">
        <v>1930</v>
      </c>
    </row>
    <row r="58" spans="1:15" ht="23.25">
      <c r="A58" s="243"/>
      <c r="B58" s="248" t="s">
        <v>397</v>
      </c>
      <c r="C58" s="245" t="s">
        <v>398</v>
      </c>
      <c r="D58" s="249" t="s">
        <v>27</v>
      </c>
      <c r="E58" s="250" t="s">
        <v>27</v>
      </c>
      <c r="F58" s="242" t="s">
        <v>27</v>
      </c>
      <c r="G58" s="242" t="s">
        <v>27</v>
      </c>
      <c r="H58" s="293"/>
      <c r="I58" s="243"/>
      <c r="J58" s="248" t="s">
        <v>397</v>
      </c>
      <c r="K58" s="245" t="s">
        <v>398</v>
      </c>
      <c r="L58" s="249" t="s">
        <v>27</v>
      </c>
      <c r="M58" s="242">
        <v>0</v>
      </c>
      <c r="N58" s="242">
        <v>0</v>
      </c>
      <c r="O58" s="242">
        <v>0</v>
      </c>
    </row>
    <row r="59" spans="1:15" ht="23.25">
      <c r="A59" s="243"/>
      <c r="B59" s="248" t="s">
        <v>399</v>
      </c>
      <c r="C59" s="245" t="s">
        <v>400</v>
      </c>
      <c r="D59" s="249" t="s">
        <v>27</v>
      </c>
      <c r="E59" s="242">
        <v>40000</v>
      </c>
      <c r="F59" s="250">
        <v>500</v>
      </c>
      <c r="G59" s="250">
        <v>21200</v>
      </c>
      <c r="H59" s="297"/>
      <c r="I59" s="243"/>
      <c r="J59" s="248" t="s">
        <v>399</v>
      </c>
      <c r="K59" s="245" t="s">
        <v>400</v>
      </c>
      <c r="L59" s="249" t="s">
        <v>27</v>
      </c>
      <c r="M59" s="242">
        <v>40000</v>
      </c>
      <c r="N59" s="250">
        <v>5700</v>
      </c>
      <c r="O59" s="250">
        <v>26900</v>
      </c>
    </row>
    <row r="60" spans="1:15" ht="23.25">
      <c r="A60" s="243"/>
      <c r="B60" s="248"/>
      <c r="C60" s="252" t="s">
        <v>34</v>
      </c>
      <c r="D60" s="249"/>
      <c r="E60" s="253">
        <f>SUM(E18:E40,E41:E59)</f>
        <v>952000</v>
      </c>
      <c r="F60" s="253">
        <f>SUM(F18:F40,F41:F59)</f>
        <v>37540.55</v>
      </c>
      <c r="G60" s="253">
        <f>SUM(G18:G40,G41:G59)</f>
        <v>694425.12</v>
      </c>
      <c r="H60" s="304"/>
      <c r="I60" s="243"/>
      <c r="J60" s="248"/>
      <c r="K60" s="252" t="s">
        <v>34</v>
      </c>
      <c r="L60" s="249"/>
      <c r="M60" s="253">
        <f>SUM(M18:M40,M41:M59)</f>
        <v>952000</v>
      </c>
      <c r="N60" s="253">
        <f>SUM(N16:N59)</f>
        <v>48163.75</v>
      </c>
      <c r="O60" s="253">
        <f>SUM(O18:O59)</f>
        <v>742588.87</v>
      </c>
    </row>
    <row r="61" spans="1:15" ht="26.25">
      <c r="A61" s="243"/>
      <c r="B61" s="244" t="s">
        <v>401</v>
      </c>
      <c r="C61" s="245"/>
      <c r="D61" s="246" t="s">
        <v>402</v>
      </c>
      <c r="E61" s="247">
        <v>1667000</v>
      </c>
      <c r="F61" s="247"/>
      <c r="G61" s="247"/>
      <c r="H61" s="295"/>
      <c r="I61" s="243"/>
      <c r="J61" s="244" t="s">
        <v>401</v>
      </c>
      <c r="K61" s="245"/>
      <c r="L61" s="246" t="s">
        <v>402</v>
      </c>
      <c r="M61" s="247">
        <v>1667000</v>
      </c>
      <c r="N61" s="247"/>
      <c r="O61" s="247"/>
    </row>
    <row r="62" spans="1:15" ht="23.25">
      <c r="A62" s="243"/>
      <c r="B62" s="266" t="s">
        <v>281</v>
      </c>
      <c r="C62" s="245" t="s">
        <v>403</v>
      </c>
      <c r="D62" s="249" t="s">
        <v>404</v>
      </c>
      <c r="E62" s="250">
        <v>0</v>
      </c>
      <c r="F62" s="250">
        <v>0</v>
      </c>
      <c r="G62" s="250">
        <v>0</v>
      </c>
      <c r="H62" s="297"/>
      <c r="I62" s="243"/>
      <c r="J62" s="266" t="s">
        <v>281</v>
      </c>
      <c r="K62" s="245" t="s">
        <v>403</v>
      </c>
      <c r="L62" s="249" t="s">
        <v>404</v>
      </c>
      <c r="M62" s="250">
        <v>0</v>
      </c>
      <c r="N62" s="250">
        <v>0</v>
      </c>
      <c r="O62" s="250">
        <v>0</v>
      </c>
    </row>
    <row r="63" spans="1:15" ht="23.25">
      <c r="A63" s="243"/>
      <c r="B63" s="266" t="s">
        <v>284</v>
      </c>
      <c r="C63" s="245" t="s">
        <v>405</v>
      </c>
      <c r="D63" s="249"/>
      <c r="E63" s="242"/>
      <c r="F63" s="242"/>
      <c r="G63" s="242"/>
      <c r="H63" s="293"/>
      <c r="I63" s="243"/>
      <c r="J63" s="266" t="s">
        <v>284</v>
      </c>
      <c r="K63" s="245" t="s">
        <v>405</v>
      </c>
      <c r="L63" s="249"/>
      <c r="M63" s="242"/>
      <c r="N63" s="242"/>
      <c r="O63" s="242"/>
    </row>
    <row r="64" spans="1:15" ht="23.25">
      <c r="A64" s="243"/>
      <c r="B64" s="266"/>
      <c r="C64" s="267" t="s">
        <v>406</v>
      </c>
      <c r="D64" s="249" t="s">
        <v>407</v>
      </c>
      <c r="E64" s="242">
        <v>320000</v>
      </c>
      <c r="F64" s="242">
        <v>27500</v>
      </c>
      <c r="G64" s="242">
        <v>227550</v>
      </c>
      <c r="H64" s="293"/>
      <c r="I64" s="243"/>
      <c r="J64" s="266"/>
      <c r="K64" s="267" t="s">
        <v>406</v>
      </c>
      <c r="L64" s="249" t="s">
        <v>407</v>
      </c>
      <c r="M64" s="242">
        <v>320000</v>
      </c>
      <c r="N64" s="242">
        <v>24700</v>
      </c>
      <c r="O64" s="242">
        <v>252250</v>
      </c>
    </row>
    <row r="65" spans="1:15" ht="23.25">
      <c r="A65" s="243"/>
      <c r="B65" s="266"/>
      <c r="C65" s="267" t="s">
        <v>408</v>
      </c>
      <c r="D65" s="249" t="s">
        <v>407</v>
      </c>
      <c r="E65" s="242">
        <v>180000</v>
      </c>
      <c r="F65" s="242">
        <v>6000</v>
      </c>
      <c r="G65" s="242">
        <v>100400</v>
      </c>
      <c r="H65" s="293"/>
      <c r="I65" s="243"/>
      <c r="J65" s="266"/>
      <c r="K65" s="267" t="s">
        <v>408</v>
      </c>
      <c r="L65" s="249" t="s">
        <v>407</v>
      </c>
      <c r="M65" s="242">
        <v>180000</v>
      </c>
      <c r="N65" s="242">
        <v>200</v>
      </c>
      <c r="O65" s="242">
        <v>100600</v>
      </c>
    </row>
    <row r="66" spans="1:15" ht="23.25">
      <c r="A66" s="243"/>
      <c r="B66" s="266"/>
      <c r="C66" s="267" t="s">
        <v>409</v>
      </c>
      <c r="D66" s="249" t="s">
        <v>407</v>
      </c>
      <c r="E66" s="242">
        <v>110000</v>
      </c>
      <c r="F66" s="250">
        <v>4800</v>
      </c>
      <c r="G66" s="250">
        <v>45300</v>
      </c>
      <c r="H66" s="297"/>
      <c r="I66" s="243"/>
      <c r="J66" s="266"/>
      <c r="K66" s="267" t="s">
        <v>409</v>
      </c>
      <c r="L66" s="249" t="s">
        <v>407</v>
      </c>
      <c r="M66" s="242">
        <v>110000</v>
      </c>
      <c r="N66" s="250">
        <v>7100</v>
      </c>
      <c r="O66" s="250">
        <v>52400</v>
      </c>
    </row>
    <row r="67" spans="1:15" ht="23.25">
      <c r="A67" s="243"/>
      <c r="B67" s="266"/>
      <c r="C67" s="267" t="s">
        <v>410</v>
      </c>
      <c r="D67" s="249" t="s">
        <v>407</v>
      </c>
      <c r="E67" s="242">
        <v>250000</v>
      </c>
      <c r="F67" s="242">
        <v>21450</v>
      </c>
      <c r="G67" s="242">
        <v>144300</v>
      </c>
      <c r="H67" s="293"/>
      <c r="I67" s="243"/>
      <c r="J67" s="266"/>
      <c r="K67" s="267" t="s">
        <v>410</v>
      </c>
      <c r="L67" s="249" t="s">
        <v>407</v>
      </c>
      <c r="M67" s="242">
        <v>250000</v>
      </c>
      <c r="N67" s="242">
        <v>17700</v>
      </c>
      <c r="O67" s="242">
        <v>162000</v>
      </c>
    </row>
    <row r="68" spans="1:15" ht="23.25">
      <c r="A68" s="243"/>
      <c r="B68" s="266"/>
      <c r="C68" s="267" t="s">
        <v>411</v>
      </c>
      <c r="D68" s="249" t="s">
        <v>407</v>
      </c>
      <c r="E68" s="242">
        <v>120000</v>
      </c>
      <c r="F68" s="251">
        <v>10070</v>
      </c>
      <c r="G68" s="251">
        <v>87835</v>
      </c>
      <c r="H68" s="298"/>
      <c r="I68" s="243"/>
      <c r="J68" s="266"/>
      <c r="K68" s="267" t="s">
        <v>411</v>
      </c>
      <c r="L68" s="249" t="s">
        <v>407</v>
      </c>
      <c r="M68" s="242">
        <v>120000</v>
      </c>
      <c r="N68" s="251">
        <v>5300</v>
      </c>
      <c r="O68" s="251">
        <v>93135</v>
      </c>
    </row>
    <row r="69" spans="1:15" ht="23.25">
      <c r="A69" s="243"/>
      <c r="B69" s="266"/>
      <c r="C69" s="267" t="s">
        <v>412</v>
      </c>
      <c r="D69" s="249" t="s">
        <v>407</v>
      </c>
      <c r="E69" s="242">
        <v>450000</v>
      </c>
      <c r="F69" s="251">
        <v>38500</v>
      </c>
      <c r="G69" s="251">
        <v>287000</v>
      </c>
      <c r="H69" s="298"/>
      <c r="I69" s="243"/>
      <c r="J69" s="266"/>
      <c r="K69" s="267" t="s">
        <v>412</v>
      </c>
      <c r="L69" s="249" t="s">
        <v>407</v>
      </c>
      <c r="M69" s="242">
        <v>450000</v>
      </c>
      <c r="N69" s="251">
        <v>34000</v>
      </c>
      <c r="O69" s="251">
        <v>321000</v>
      </c>
    </row>
    <row r="70" spans="1:15" ht="23.25">
      <c r="A70" s="243"/>
      <c r="B70" s="266"/>
      <c r="C70" s="267" t="s">
        <v>413</v>
      </c>
      <c r="D70" s="249" t="s">
        <v>407</v>
      </c>
      <c r="E70" s="242">
        <v>15000</v>
      </c>
      <c r="F70" s="242">
        <v>700</v>
      </c>
      <c r="G70" s="242">
        <v>8700</v>
      </c>
      <c r="H70" s="293"/>
      <c r="I70" s="243"/>
      <c r="J70" s="266"/>
      <c r="K70" s="267" t="s">
        <v>413</v>
      </c>
      <c r="L70" s="249" t="s">
        <v>407</v>
      </c>
      <c r="M70" s="242">
        <v>15000</v>
      </c>
      <c r="N70" s="242">
        <v>1100</v>
      </c>
      <c r="O70" s="242">
        <v>9800</v>
      </c>
    </row>
    <row r="71" spans="1:15" ht="23.25">
      <c r="A71" s="243"/>
      <c r="B71" s="266" t="s">
        <v>287</v>
      </c>
      <c r="C71" s="245" t="s">
        <v>414</v>
      </c>
      <c r="D71" s="249"/>
      <c r="E71" s="242"/>
      <c r="F71" s="250"/>
      <c r="G71" s="250"/>
      <c r="H71" s="297"/>
      <c r="I71" s="243"/>
      <c r="J71" s="266" t="s">
        <v>287</v>
      </c>
      <c r="K71" s="245" t="s">
        <v>414</v>
      </c>
      <c r="L71" s="249"/>
      <c r="M71" s="242"/>
      <c r="N71" s="250"/>
      <c r="O71" s="250">
        <v>0</v>
      </c>
    </row>
    <row r="72" spans="1:15" ht="23.25">
      <c r="A72" s="243"/>
      <c r="B72" s="266"/>
      <c r="C72" s="267" t="s">
        <v>415</v>
      </c>
      <c r="D72" s="249" t="s">
        <v>416</v>
      </c>
      <c r="E72" s="242">
        <v>100000</v>
      </c>
      <c r="F72" s="250" t="s">
        <v>27</v>
      </c>
      <c r="G72" s="250">
        <v>83157.03</v>
      </c>
      <c r="H72" s="297"/>
      <c r="I72" s="243"/>
      <c r="J72" s="266"/>
      <c r="K72" s="267" t="s">
        <v>415</v>
      </c>
      <c r="L72" s="249" t="s">
        <v>416</v>
      </c>
      <c r="M72" s="242">
        <v>100000</v>
      </c>
      <c r="N72" s="250">
        <v>33793.78</v>
      </c>
      <c r="O72" s="250">
        <v>116950.81</v>
      </c>
    </row>
    <row r="73" spans="1:15" ht="23.25">
      <c r="A73" s="243"/>
      <c r="B73" s="266"/>
      <c r="C73" s="267" t="s">
        <v>417</v>
      </c>
      <c r="D73" s="249" t="s">
        <v>416</v>
      </c>
      <c r="E73" s="242">
        <v>60000</v>
      </c>
      <c r="F73" s="250" t="s">
        <v>27</v>
      </c>
      <c r="G73" s="250" t="s">
        <v>27</v>
      </c>
      <c r="H73" s="297"/>
      <c r="I73" s="243"/>
      <c r="J73" s="266"/>
      <c r="K73" s="267" t="s">
        <v>417</v>
      </c>
      <c r="L73" s="249" t="s">
        <v>416</v>
      </c>
      <c r="M73" s="242">
        <v>60000</v>
      </c>
      <c r="N73" s="250">
        <v>0</v>
      </c>
      <c r="O73" s="250">
        <v>0</v>
      </c>
    </row>
    <row r="74" spans="1:15" ht="23.25">
      <c r="A74" s="243"/>
      <c r="B74" s="266" t="s">
        <v>290</v>
      </c>
      <c r="C74" s="245" t="s">
        <v>418</v>
      </c>
      <c r="D74" s="249" t="s">
        <v>419</v>
      </c>
      <c r="E74" s="242">
        <v>1000</v>
      </c>
      <c r="F74" s="250" t="s">
        <v>27</v>
      </c>
      <c r="G74" s="250" t="s">
        <v>27</v>
      </c>
      <c r="H74" s="297"/>
      <c r="I74" s="243"/>
      <c r="J74" s="266" t="s">
        <v>290</v>
      </c>
      <c r="K74" s="245" t="s">
        <v>418</v>
      </c>
      <c r="L74" s="249" t="s">
        <v>419</v>
      </c>
      <c r="M74" s="242">
        <v>1000</v>
      </c>
      <c r="N74" s="250">
        <v>0</v>
      </c>
      <c r="O74" s="250">
        <v>0</v>
      </c>
    </row>
    <row r="75" spans="1:15" ht="23.25">
      <c r="A75" s="243"/>
      <c r="B75" s="266" t="s">
        <v>293</v>
      </c>
      <c r="C75" s="245" t="s">
        <v>420</v>
      </c>
      <c r="D75" s="249" t="s">
        <v>421</v>
      </c>
      <c r="E75" s="251">
        <v>1000</v>
      </c>
      <c r="F75" s="250" t="s">
        <v>27</v>
      </c>
      <c r="G75" s="250" t="s">
        <v>27</v>
      </c>
      <c r="H75" s="297"/>
      <c r="I75" s="243"/>
      <c r="J75" s="266" t="s">
        <v>293</v>
      </c>
      <c r="K75" s="245" t="s">
        <v>420</v>
      </c>
      <c r="L75" s="249" t="s">
        <v>421</v>
      </c>
      <c r="M75" s="251">
        <v>1000</v>
      </c>
      <c r="N75" s="250">
        <v>0</v>
      </c>
      <c r="O75" s="250">
        <v>0</v>
      </c>
    </row>
    <row r="76" spans="1:15" ht="23.25">
      <c r="A76" s="243"/>
      <c r="B76" s="266" t="s">
        <v>296</v>
      </c>
      <c r="C76" s="245" t="s">
        <v>422</v>
      </c>
      <c r="D76" s="249" t="s">
        <v>27</v>
      </c>
      <c r="E76" s="250">
        <v>60000</v>
      </c>
      <c r="F76" s="251">
        <v>7200</v>
      </c>
      <c r="G76" s="251">
        <v>57000</v>
      </c>
      <c r="H76" s="298"/>
      <c r="I76" s="243"/>
      <c r="J76" s="266" t="s">
        <v>296</v>
      </c>
      <c r="K76" s="245" t="s">
        <v>422</v>
      </c>
      <c r="L76" s="249" t="s">
        <v>27</v>
      </c>
      <c r="M76" s="250">
        <v>60000</v>
      </c>
      <c r="N76" s="251">
        <v>7700</v>
      </c>
      <c r="O76" s="251">
        <v>64700</v>
      </c>
    </row>
    <row r="77" spans="1:15" ht="23.25">
      <c r="A77" s="256"/>
      <c r="B77" s="257"/>
      <c r="C77" s="268" t="s">
        <v>34</v>
      </c>
      <c r="D77" s="259"/>
      <c r="E77" s="253">
        <f>SUM(E62:E76)</f>
        <v>1667000</v>
      </c>
      <c r="F77" s="253">
        <f>SUM(F62:F76)</f>
        <v>116220</v>
      </c>
      <c r="G77" s="253">
        <f>SUM(G62:G76)</f>
        <v>1041242.03</v>
      </c>
      <c r="H77" s="305"/>
      <c r="I77" s="256"/>
      <c r="J77" s="257"/>
      <c r="K77" s="268" t="s">
        <v>34</v>
      </c>
      <c r="L77" s="259"/>
      <c r="M77" s="253">
        <f>SUM(M62:M76)</f>
        <v>1667000</v>
      </c>
      <c r="N77" s="253">
        <f>SUM(N62:N76)</f>
        <v>131593.78</v>
      </c>
      <c r="O77" s="253">
        <f>SUM(O62:O76)</f>
        <v>1172835.81</v>
      </c>
    </row>
    <row r="78" spans="1:15" ht="23.25">
      <c r="A78" s="269"/>
      <c r="B78" s="264"/>
      <c r="C78" s="270"/>
      <c r="D78" s="271"/>
      <c r="E78" s="272"/>
      <c r="F78" s="272"/>
      <c r="G78" s="272"/>
      <c r="H78" s="272"/>
      <c r="I78" s="269"/>
      <c r="J78" s="264"/>
      <c r="K78" s="270"/>
      <c r="L78" s="271"/>
      <c r="M78" s="272"/>
      <c r="N78" s="272"/>
      <c r="O78" s="272"/>
    </row>
    <row r="79" spans="1:15" ht="23.25">
      <c r="A79" s="232"/>
      <c r="B79" s="233"/>
      <c r="C79" s="234"/>
      <c r="D79" s="235" t="s">
        <v>83</v>
      </c>
      <c r="E79" s="262" t="s">
        <v>33</v>
      </c>
      <c r="F79" s="262" t="s">
        <v>349</v>
      </c>
      <c r="G79" s="262" t="s">
        <v>277</v>
      </c>
      <c r="H79" s="302"/>
      <c r="I79" s="232"/>
      <c r="J79" s="233"/>
      <c r="K79" s="234"/>
      <c r="L79" s="235" t="s">
        <v>83</v>
      </c>
      <c r="M79" s="262" t="s">
        <v>33</v>
      </c>
      <c r="N79" s="262" t="s">
        <v>349</v>
      </c>
      <c r="O79" s="262" t="s">
        <v>277</v>
      </c>
    </row>
    <row r="80" spans="1:15" ht="26.25">
      <c r="A80" s="263"/>
      <c r="B80" s="273" t="s">
        <v>423</v>
      </c>
      <c r="C80" s="245"/>
      <c r="D80" s="246" t="s">
        <v>424</v>
      </c>
      <c r="E80" s="274">
        <v>110000</v>
      </c>
      <c r="F80" s="250"/>
      <c r="G80" s="250"/>
      <c r="H80" s="297"/>
      <c r="I80" s="263"/>
      <c r="J80" s="273" t="s">
        <v>423</v>
      </c>
      <c r="K80" s="245"/>
      <c r="L80" s="246" t="s">
        <v>424</v>
      </c>
      <c r="M80" s="274">
        <v>110000</v>
      </c>
      <c r="N80" s="250"/>
      <c r="O80" s="250"/>
    </row>
    <row r="81" spans="1:15" ht="23.25">
      <c r="A81" s="243"/>
      <c r="B81" s="266" t="s">
        <v>281</v>
      </c>
      <c r="C81" s="245" t="s">
        <v>425</v>
      </c>
      <c r="D81" s="249" t="s">
        <v>426</v>
      </c>
      <c r="E81" s="250">
        <v>60000</v>
      </c>
      <c r="F81" s="250"/>
      <c r="G81" s="250"/>
      <c r="H81" s="297"/>
      <c r="I81" s="243"/>
      <c r="J81" s="266" t="s">
        <v>281</v>
      </c>
      <c r="K81" s="245" t="s">
        <v>425</v>
      </c>
      <c r="L81" s="249" t="s">
        <v>426</v>
      </c>
      <c r="M81" s="250">
        <v>60000</v>
      </c>
      <c r="N81" s="250">
        <v>0</v>
      </c>
      <c r="O81" s="250">
        <v>0</v>
      </c>
    </row>
    <row r="82" spans="1:15" ht="23.25">
      <c r="A82" s="243"/>
      <c r="B82" s="266" t="s">
        <v>284</v>
      </c>
      <c r="C82" s="245" t="s">
        <v>427</v>
      </c>
      <c r="D82" s="249" t="s">
        <v>428</v>
      </c>
      <c r="E82" s="250" t="s">
        <v>27</v>
      </c>
      <c r="F82" s="250"/>
      <c r="G82" s="250"/>
      <c r="H82" s="297"/>
      <c r="I82" s="243"/>
      <c r="J82" s="266" t="s">
        <v>284</v>
      </c>
      <c r="K82" s="245" t="s">
        <v>427</v>
      </c>
      <c r="L82" s="249" t="s">
        <v>428</v>
      </c>
      <c r="M82" s="250">
        <v>0</v>
      </c>
      <c r="N82" s="250">
        <v>0</v>
      </c>
      <c r="O82" s="250">
        <v>0</v>
      </c>
    </row>
    <row r="83" spans="1:15" ht="23.25">
      <c r="A83" s="243"/>
      <c r="B83" s="266" t="s">
        <v>287</v>
      </c>
      <c r="C83" s="245" t="s">
        <v>429</v>
      </c>
      <c r="D83" s="249" t="s">
        <v>430</v>
      </c>
      <c r="E83" s="251">
        <v>50000</v>
      </c>
      <c r="F83" s="250">
        <v>5804</v>
      </c>
      <c r="G83" s="250">
        <v>36269</v>
      </c>
      <c r="H83" s="297"/>
      <c r="I83" s="243"/>
      <c r="J83" s="266" t="s">
        <v>287</v>
      </c>
      <c r="K83" s="245" t="s">
        <v>429</v>
      </c>
      <c r="L83" s="249" t="s">
        <v>430</v>
      </c>
      <c r="M83" s="251">
        <v>50000</v>
      </c>
      <c r="N83" s="250">
        <v>5939</v>
      </c>
      <c r="O83" s="250">
        <v>42208</v>
      </c>
    </row>
    <row r="84" spans="1:15" ht="23.25">
      <c r="A84" s="243"/>
      <c r="B84" s="248"/>
      <c r="C84" s="252" t="s">
        <v>34</v>
      </c>
      <c r="D84" s="249"/>
      <c r="E84" s="254">
        <f>SUM(E81:E83)</f>
        <v>110000</v>
      </c>
      <c r="F84" s="254">
        <f>SUM(F81:F83)</f>
        <v>5804</v>
      </c>
      <c r="G84" s="254">
        <f>SUM(G81:G83)</f>
        <v>36269</v>
      </c>
      <c r="H84" s="299"/>
      <c r="I84" s="243"/>
      <c r="J84" s="248"/>
      <c r="K84" s="252" t="s">
        <v>34</v>
      </c>
      <c r="L84" s="249"/>
      <c r="M84" s="254">
        <f>SUM(M81:M83)</f>
        <v>110000</v>
      </c>
      <c r="N84" s="254">
        <f>SUM(N81:N83)</f>
        <v>5939</v>
      </c>
      <c r="O84" s="254">
        <f>SUM(O81:O83)</f>
        <v>42208</v>
      </c>
    </row>
    <row r="85" spans="1:15" ht="26.25">
      <c r="A85" s="243"/>
      <c r="B85" s="244" t="s">
        <v>431</v>
      </c>
      <c r="C85" s="245"/>
      <c r="D85" s="246" t="s">
        <v>432</v>
      </c>
      <c r="E85" s="247">
        <v>480000</v>
      </c>
      <c r="F85" s="247"/>
      <c r="G85" s="247"/>
      <c r="H85" s="295"/>
      <c r="I85" s="243"/>
      <c r="J85" s="244" t="s">
        <v>431</v>
      </c>
      <c r="K85" s="245"/>
      <c r="L85" s="246" t="s">
        <v>432</v>
      </c>
      <c r="M85" s="247">
        <v>480000</v>
      </c>
      <c r="N85" s="247"/>
      <c r="O85" s="247"/>
    </row>
    <row r="86" spans="1:15" ht="23.25">
      <c r="A86" s="243"/>
      <c r="B86" s="266" t="s">
        <v>281</v>
      </c>
      <c r="C86" s="245" t="s">
        <v>433</v>
      </c>
      <c r="D86" s="249" t="s">
        <v>434</v>
      </c>
      <c r="E86" s="251">
        <v>3000</v>
      </c>
      <c r="F86" s="250" t="s">
        <v>27</v>
      </c>
      <c r="G86" s="250">
        <v>3000</v>
      </c>
      <c r="H86" s="297"/>
      <c r="I86" s="243"/>
      <c r="J86" s="266" t="s">
        <v>281</v>
      </c>
      <c r="K86" s="245" t="s">
        <v>433</v>
      </c>
      <c r="L86" s="249" t="s">
        <v>434</v>
      </c>
      <c r="M86" s="251">
        <v>3000</v>
      </c>
      <c r="N86" s="250">
        <v>0</v>
      </c>
      <c r="O86" s="250">
        <v>3000</v>
      </c>
    </row>
    <row r="87" spans="1:15" ht="23.25">
      <c r="A87" s="243"/>
      <c r="B87" s="266" t="s">
        <v>284</v>
      </c>
      <c r="C87" s="245" t="s">
        <v>435</v>
      </c>
      <c r="D87" s="249" t="s">
        <v>436</v>
      </c>
      <c r="E87" s="242">
        <v>200000</v>
      </c>
      <c r="F87" s="250">
        <v>700</v>
      </c>
      <c r="G87" s="250">
        <v>389900</v>
      </c>
      <c r="H87" s="297"/>
      <c r="I87" s="243"/>
      <c r="J87" s="266" t="s">
        <v>284</v>
      </c>
      <c r="K87" s="245" t="s">
        <v>435</v>
      </c>
      <c r="L87" s="249" t="s">
        <v>436</v>
      </c>
      <c r="M87" s="242">
        <v>200000</v>
      </c>
      <c r="N87" s="250">
        <v>0</v>
      </c>
      <c r="O87" s="250">
        <v>389900</v>
      </c>
    </row>
    <row r="88" spans="1:15" ht="23.25">
      <c r="A88" s="243"/>
      <c r="B88" s="266" t="s">
        <v>287</v>
      </c>
      <c r="C88" s="245" t="s">
        <v>437</v>
      </c>
      <c r="D88" s="249" t="s">
        <v>438</v>
      </c>
      <c r="E88" s="251">
        <v>5000</v>
      </c>
      <c r="F88" s="250" t="s">
        <v>27</v>
      </c>
      <c r="G88" s="250" t="s">
        <v>27</v>
      </c>
      <c r="H88" s="297"/>
      <c r="I88" s="243"/>
      <c r="J88" s="266" t="s">
        <v>287</v>
      </c>
      <c r="K88" s="245" t="s">
        <v>437</v>
      </c>
      <c r="L88" s="249" t="s">
        <v>438</v>
      </c>
      <c r="M88" s="251">
        <v>5000</v>
      </c>
      <c r="N88" s="250" t="s">
        <v>27</v>
      </c>
      <c r="O88" s="250" t="s">
        <v>27</v>
      </c>
    </row>
    <row r="89" spans="1:15" ht="23.25">
      <c r="A89" s="243"/>
      <c r="B89" s="266" t="s">
        <v>290</v>
      </c>
      <c r="C89" s="245" t="s">
        <v>439</v>
      </c>
      <c r="D89" s="249" t="s">
        <v>440</v>
      </c>
      <c r="E89" s="251">
        <v>20000</v>
      </c>
      <c r="F89" s="251">
        <v>860</v>
      </c>
      <c r="G89" s="251">
        <v>7926</v>
      </c>
      <c r="H89" s="298"/>
      <c r="I89" s="243"/>
      <c r="J89" s="266" t="s">
        <v>290</v>
      </c>
      <c r="K89" s="245" t="s">
        <v>439</v>
      </c>
      <c r="L89" s="249" t="s">
        <v>440</v>
      </c>
      <c r="M89" s="251">
        <v>20000</v>
      </c>
      <c r="N89" s="251">
        <v>942</v>
      </c>
      <c r="O89" s="251">
        <v>8868</v>
      </c>
    </row>
    <row r="90" spans="1:15" ht="23.25">
      <c r="A90" s="243"/>
      <c r="B90" s="266" t="s">
        <v>293</v>
      </c>
      <c r="C90" s="245" t="s">
        <v>441</v>
      </c>
      <c r="D90" s="249" t="s">
        <v>442</v>
      </c>
      <c r="E90" s="251">
        <v>2000</v>
      </c>
      <c r="F90" s="250">
        <v>10</v>
      </c>
      <c r="G90" s="250">
        <v>190</v>
      </c>
      <c r="H90" s="297"/>
      <c r="I90" s="243"/>
      <c r="J90" s="266" t="s">
        <v>293</v>
      </c>
      <c r="K90" s="245" t="s">
        <v>441</v>
      </c>
      <c r="L90" s="249" t="s">
        <v>442</v>
      </c>
      <c r="M90" s="251">
        <v>2000</v>
      </c>
      <c r="N90" s="250">
        <v>30</v>
      </c>
      <c r="O90" s="250">
        <v>220</v>
      </c>
    </row>
    <row r="91" spans="1:15" ht="23.25">
      <c r="A91" s="243"/>
      <c r="B91" s="266" t="s">
        <v>296</v>
      </c>
      <c r="C91" s="245" t="s">
        <v>443</v>
      </c>
      <c r="D91" s="249" t="s">
        <v>444</v>
      </c>
      <c r="E91" s="250">
        <v>50000</v>
      </c>
      <c r="F91" s="250">
        <v>100</v>
      </c>
      <c r="G91" s="250">
        <v>5800</v>
      </c>
      <c r="H91" s="297"/>
      <c r="I91" s="243"/>
      <c r="J91" s="266" t="s">
        <v>296</v>
      </c>
      <c r="K91" s="245" t="s">
        <v>443</v>
      </c>
      <c r="L91" s="249" t="s">
        <v>444</v>
      </c>
      <c r="M91" s="250">
        <v>50000</v>
      </c>
      <c r="N91" s="250">
        <v>0</v>
      </c>
      <c r="O91" s="250">
        <v>5800</v>
      </c>
    </row>
    <row r="92" spans="1:15" ht="23.25">
      <c r="A92" s="243"/>
      <c r="B92" s="266" t="s">
        <v>314</v>
      </c>
      <c r="C92" s="245" t="s">
        <v>445</v>
      </c>
      <c r="D92" s="249" t="s">
        <v>446</v>
      </c>
      <c r="E92" s="242">
        <v>200000</v>
      </c>
      <c r="F92" s="251">
        <v>15188</v>
      </c>
      <c r="G92" s="251">
        <v>91238</v>
      </c>
      <c r="H92" s="298"/>
      <c r="I92" s="243"/>
      <c r="J92" s="266" t="s">
        <v>314</v>
      </c>
      <c r="K92" s="245" t="s">
        <v>445</v>
      </c>
      <c r="L92" s="249" t="s">
        <v>446</v>
      </c>
      <c r="M92" s="242">
        <v>200000</v>
      </c>
      <c r="N92" s="251">
        <v>5930</v>
      </c>
      <c r="O92" s="251">
        <v>97168</v>
      </c>
    </row>
    <row r="93" spans="1:15" ht="23.25">
      <c r="A93" s="243"/>
      <c r="B93" s="248"/>
      <c r="C93" s="252" t="s">
        <v>34</v>
      </c>
      <c r="D93" s="249"/>
      <c r="E93" s="254">
        <f>SUM(E86:E92)</f>
        <v>480000</v>
      </c>
      <c r="F93" s="254">
        <f>SUM(F86:F92)</f>
        <v>16858</v>
      </c>
      <c r="G93" s="254">
        <f>SUM(G86:G92)</f>
        <v>498054</v>
      </c>
      <c r="H93" s="299"/>
      <c r="I93" s="243"/>
      <c r="J93" s="248"/>
      <c r="K93" s="252" t="s">
        <v>34</v>
      </c>
      <c r="L93" s="249"/>
      <c r="M93" s="254">
        <v>480000</v>
      </c>
      <c r="N93" s="254">
        <f>SUM(N86:N92)</f>
        <v>6902</v>
      </c>
      <c r="O93" s="254">
        <f>SUM(O86:O92)</f>
        <v>504956</v>
      </c>
    </row>
    <row r="94" spans="1:15" ht="26.25">
      <c r="A94" s="243"/>
      <c r="B94" s="244" t="s">
        <v>447</v>
      </c>
      <c r="C94" s="245"/>
      <c r="D94" s="246" t="s">
        <v>448</v>
      </c>
      <c r="E94" s="275" t="s">
        <v>27</v>
      </c>
      <c r="F94" s="275"/>
      <c r="G94" s="275"/>
      <c r="H94" s="306"/>
      <c r="I94" s="243"/>
      <c r="J94" s="244" t="s">
        <v>447</v>
      </c>
      <c r="K94" s="245"/>
      <c r="L94" s="246" t="s">
        <v>448</v>
      </c>
      <c r="M94" s="274">
        <v>0</v>
      </c>
      <c r="N94" s="275"/>
      <c r="O94" s="275"/>
    </row>
    <row r="95" spans="1:15" ht="23.25">
      <c r="A95" s="243"/>
      <c r="B95" s="266" t="s">
        <v>281</v>
      </c>
      <c r="C95" s="245" t="s">
        <v>449</v>
      </c>
      <c r="D95" s="249" t="s">
        <v>450</v>
      </c>
      <c r="E95" s="250" t="s">
        <v>27</v>
      </c>
      <c r="F95" s="250">
        <v>0</v>
      </c>
      <c r="G95" s="250">
        <v>0</v>
      </c>
      <c r="H95" s="297"/>
      <c r="I95" s="243"/>
      <c r="J95" s="266" t="s">
        <v>281</v>
      </c>
      <c r="K95" s="245" t="s">
        <v>449</v>
      </c>
      <c r="L95" s="249" t="s">
        <v>450</v>
      </c>
      <c r="M95" s="251">
        <v>0</v>
      </c>
      <c r="N95" s="251">
        <v>19200</v>
      </c>
      <c r="O95" s="251">
        <v>19200</v>
      </c>
    </row>
    <row r="96" spans="1:15" ht="23.25">
      <c r="A96" s="243"/>
      <c r="B96" s="248"/>
      <c r="C96" s="252" t="s">
        <v>34</v>
      </c>
      <c r="D96" s="249"/>
      <c r="E96" s="276" t="s">
        <v>27</v>
      </c>
      <c r="F96" s="276">
        <v>0</v>
      </c>
      <c r="G96" s="276">
        <v>0</v>
      </c>
      <c r="H96" s="307"/>
      <c r="I96" s="243"/>
      <c r="J96" s="248"/>
      <c r="K96" s="252" t="s">
        <v>34</v>
      </c>
      <c r="L96" s="249"/>
      <c r="M96" s="254">
        <v>0</v>
      </c>
      <c r="N96" s="254">
        <v>19200</v>
      </c>
      <c r="O96" s="254">
        <v>19200</v>
      </c>
    </row>
    <row r="97" spans="1:15" ht="26.25">
      <c r="A97" s="277" t="s">
        <v>451</v>
      </c>
      <c r="B97" s="248"/>
      <c r="C97" s="245"/>
      <c r="D97" s="249"/>
      <c r="E97" s="242"/>
      <c r="F97" s="242"/>
      <c r="G97" s="242"/>
      <c r="H97" s="293"/>
      <c r="I97" s="277" t="s">
        <v>451</v>
      </c>
      <c r="J97" s="248"/>
      <c r="K97" s="245"/>
      <c r="L97" s="249"/>
      <c r="M97" s="242"/>
      <c r="N97" s="242"/>
      <c r="O97" s="242"/>
    </row>
    <row r="98" spans="1:15" ht="26.25">
      <c r="A98" s="243"/>
      <c r="B98" s="244" t="s">
        <v>452</v>
      </c>
      <c r="C98" s="245"/>
      <c r="D98" s="246" t="s">
        <v>453</v>
      </c>
      <c r="E98" s="247">
        <v>19343000</v>
      </c>
      <c r="F98" s="275"/>
      <c r="G98" s="275"/>
      <c r="H98" s="306"/>
      <c r="I98" s="243"/>
      <c r="J98" s="244" t="s">
        <v>452</v>
      </c>
      <c r="K98" s="245"/>
      <c r="L98" s="246" t="s">
        <v>453</v>
      </c>
      <c r="M98" s="247">
        <v>19343000</v>
      </c>
      <c r="N98" s="275"/>
      <c r="O98" s="275"/>
    </row>
    <row r="99" spans="1:15" ht="23.25">
      <c r="A99" s="243"/>
      <c r="B99" s="266" t="s">
        <v>281</v>
      </c>
      <c r="C99" s="245" t="s">
        <v>454</v>
      </c>
      <c r="D99" s="249" t="s">
        <v>455</v>
      </c>
      <c r="E99" s="242">
        <v>0</v>
      </c>
      <c r="F99" s="251">
        <v>0</v>
      </c>
      <c r="G99" s="251">
        <v>0</v>
      </c>
      <c r="H99" s="298"/>
      <c r="I99" s="243"/>
      <c r="J99" s="266" t="s">
        <v>281</v>
      </c>
      <c r="K99" s="245" t="s">
        <v>454</v>
      </c>
      <c r="L99" s="249" t="s">
        <v>455</v>
      </c>
      <c r="M99" s="242">
        <v>0</v>
      </c>
      <c r="N99" s="251">
        <v>0</v>
      </c>
      <c r="O99" s="251">
        <v>0</v>
      </c>
    </row>
    <row r="100" spans="1:15" ht="23.25">
      <c r="A100" s="243"/>
      <c r="B100" s="266" t="s">
        <v>284</v>
      </c>
      <c r="C100" s="245" t="s">
        <v>456</v>
      </c>
      <c r="D100" s="249" t="s">
        <v>457</v>
      </c>
      <c r="E100" s="242">
        <v>14000000</v>
      </c>
      <c r="F100" s="251">
        <v>1573783.32</v>
      </c>
      <c r="G100" s="251">
        <v>10186150.73</v>
      </c>
      <c r="H100" s="298"/>
      <c r="I100" s="243"/>
      <c r="J100" s="266" t="s">
        <v>284</v>
      </c>
      <c r="K100" s="245" t="s">
        <v>456</v>
      </c>
      <c r="L100" s="249" t="s">
        <v>457</v>
      </c>
      <c r="M100" s="242">
        <v>14000000</v>
      </c>
      <c r="N100" s="251">
        <v>212144.71</v>
      </c>
      <c r="O100" s="251">
        <v>10398295.44</v>
      </c>
    </row>
    <row r="101" spans="1:15" ht="23.25">
      <c r="A101" s="243"/>
      <c r="B101" s="266" t="s">
        <v>287</v>
      </c>
      <c r="C101" s="245" t="s">
        <v>458</v>
      </c>
      <c r="D101" s="249"/>
      <c r="E101" s="242"/>
      <c r="F101" s="250"/>
      <c r="G101" s="250"/>
      <c r="H101" s="297"/>
      <c r="I101" s="243"/>
      <c r="J101" s="266" t="s">
        <v>287</v>
      </c>
      <c r="K101" s="245" t="s">
        <v>459</v>
      </c>
      <c r="L101" s="249"/>
      <c r="M101" s="242"/>
      <c r="N101" s="250"/>
      <c r="O101" s="250"/>
    </row>
    <row r="102" spans="1:15" ht="23.25">
      <c r="A102" s="243"/>
      <c r="B102" s="266"/>
      <c r="C102" s="245" t="s">
        <v>460</v>
      </c>
      <c r="D102" s="249" t="s">
        <v>461</v>
      </c>
      <c r="E102" s="250" t="s">
        <v>27</v>
      </c>
      <c r="F102" s="250" t="s">
        <v>27</v>
      </c>
      <c r="G102" s="250" t="s">
        <v>27</v>
      </c>
      <c r="H102" s="297"/>
      <c r="I102" s="243"/>
      <c r="J102" s="266"/>
      <c r="K102" s="245" t="s">
        <v>460</v>
      </c>
      <c r="L102" s="249" t="s">
        <v>461</v>
      </c>
      <c r="M102" s="250">
        <v>0</v>
      </c>
      <c r="N102" s="250">
        <v>0</v>
      </c>
      <c r="O102" s="250">
        <v>0</v>
      </c>
    </row>
    <row r="103" spans="1:15" ht="23.25">
      <c r="A103" s="243"/>
      <c r="B103" s="266" t="s">
        <v>290</v>
      </c>
      <c r="C103" s="245" t="s">
        <v>462</v>
      </c>
      <c r="D103" s="249" t="s">
        <v>463</v>
      </c>
      <c r="E103" s="242">
        <v>20000</v>
      </c>
      <c r="F103" s="250" t="s">
        <v>27</v>
      </c>
      <c r="G103" s="250">
        <v>63090.68</v>
      </c>
      <c r="H103" s="297"/>
      <c r="I103" s="243"/>
      <c r="J103" s="266" t="s">
        <v>290</v>
      </c>
      <c r="K103" s="245" t="s">
        <v>462</v>
      </c>
      <c r="L103" s="249" t="s">
        <v>463</v>
      </c>
      <c r="M103" s="242">
        <v>20000</v>
      </c>
      <c r="N103" s="250" t="s">
        <v>27</v>
      </c>
      <c r="O103" s="250">
        <v>63090.68</v>
      </c>
    </row>
    <row r="104" spans="1:15" ht="23.25">
      <c r="A104" s="243"/>
      <c r="B104" s="266" t="s">
        <v>293</v>
      </c>
      <c r="C104" s="245" t="s">
        <v>464</v>
      </c>
      <c r="D104" s="249" t="s">
        <v>465</v>
      </c>
      <c r="E104" s="242">
        <v>1200000</v>
      </c>
      <c r="F104" s="250">
        <v>155088.52</v>
      </c>
      <c r="G104" s="250">
        <v>899932.34</v>
      </c>
      <c r="H104" s="297"/>
      <c r="I104" s="243"/>
      <c r="J104" s="266" t="s">
        <v>293</v>
      </c>
      <c r="K104" s="245" t="s">
        <v>464</v>
      </c>
      <c r="L104" s="249" t="s">
        <v>465</v>
      </c>
      <c r="M104" s="242">
        <v>1200000</v>
      </c>
      <c r="N104" s="250">
        <v>122311.39</v>
      </c>
      <c r="O104" s="250">
        <v>1022243.73</v>
      </c>
    </row>
    <row r="105" spans="1:15" ht="23.25">
      <c r="A105" s="243"/>
      <c r="B105" s="266" t="s">
        <v>296</v>
      </c>
      <c r="C105" s="245" t="s">
        <v>466</v>
      </c>
      <c r="D105" s="249" t="s">
        <v>467</v>
      </c>
      <c r="E105" s="242">
        <v>2500000</v>
      </c>
      <c r="F105" s="250">
        <v>343744.59</v>
      </c>
      <c r="G105" s="250">
        <v>2297362.75</v>
      </c>
      <c r="H105" s="297"/>
      <c r="I105" s="243"/>
      <c r="J105" s="266" t="s">
        <v>296</v>
      </c>
      <c r="K105" s="245" t="s">
        <v>466</v>
      </c>
      <c r="L105" s="249" t="s">
        <v>467</v>
      </c>
      <c r="M105" s="242">
        <v>2500000</v>
      </c>
      <c r="N105" s="250">
        <v>343258.74</v>
      </c>
      <c r="O105" s="250">
        <v>2640621.49</v>
      </c>
    </row>
    <row r="106" spans="1:15" ht="23.25">
      <c r="A106" s="243"/>
      <c r="B106" s="266" t="s">
        <v>314</v>
      </c>
      <c r="C106" s="245" t="s">
        <v>468</v>
      </c>
      <c r="D106" s="249" t="s">
        <v>469</v>
      </c>
      <c r="E106" s="251">
        <v>1000</v>
      </c>
      <c r="F106" s="250" t="s">
        <v>27</v>
      </c>
      <c r="G106" s="250" t="s">
        <v>27</v>
      </c>
      <c r="H106" s="297"/>
      <c r="I106" s="243"/>
      <c r="J106" s="266" t="s">
        <v>314</v>
      </c>
      <c r="K106" s="245" t="s">
        <v>468</v>
      </c>
      <c r="L106" s="249" t="s">
        <v>469</v>
      </c>
      <c r="M106" s="251">
        <v>1000</v>
      </c>
      <c r="N106" s="250">
        <v>0</v>
      </c>
      <c r="O106" s="250">
        <v>0</v>
      </c>
    </row>
    <row r="107" spans="1:15" ht="23.25">
      <c r="A107" s="243"/>
      <c r="B107" s="266" t="s">
        <v>317</v>
      </c>
      <c r="C107" s="245" t="s">
        <v>470</v>
      </c>
      <c r="D107" s="249" t="s">
        <v>471</v>
      </c>
      <c r="E107" s="250" t="s">
        <v>27</v>
      </c>
      <c r="F107" s="250" t="s">
        <v>27</v>
      </c>
      <c r="G107" s="250" t="s">
        <v>27</v>
      </c>
      <c r="H107" s="297"/>
      <c r="I107" s="243"/>
      <c r="J107" s="266" t="s">
        <v>317</v>
      </c>
      <c r="K107" s="245" t="s">
        <v>470</v>
      </c>
      <c r="L107" s="249" t="s">
        <v>471</v>
      </c>
      <c r="M107" s="250">
        <v>0</v>
      </c>
      <c r="N107" s="250">
        <v>0</v>
      </c>
      <c r="O107" s="250">
        <v>0</v>
      </c>
    </row>
    <row r="108" spans="1:15" ht="23.25">
      <c r="A108" s="243"/>
      <c r="B108" s="266" t="s">
        <v>322</v>
      </c>
      <c r="C108" s="245" t="s">
        <v>472</v>
      </c>
      <c r="D108" s="249" t="s">
        <v>473</v>
      </c>
      <c r="E108" s="251">
        <v>2000</v>
      </c>
      <c r="F108" s="250" t="s">
        <v>27</v>
      </c>
      <c r="G108" s="250" t="s">
        <v>27</v>
      </c>
      <c r="H108" s="297"/>
      <c r="I108" s="243"/>
      <c r="J108" s="266" t="s">
        <v>322</v>
      </c>
      <c r="K108" s="245" t="s">
        <v>472</v>
      </c>
      <c r="L108" s="249" t="s">
        <v>473</v>
      </c>
      <c r="M108" s="251">
        <v>2000</v>
      </c>
      <c r="N108" s="250">
        <v>0</v>
      </c>
      <c r="O108" s="250">
        <v>0</v>
      </c>
    </row>
    <row r="109" spans="1:15" ht="23.25">
      <c r="A109" s="243"/>
      <c r="B109" s="266" t="s">
        <v>325</v>
      </c>
      <c r="C109" s="245" t="s">
        <v>474</v>
      </c>
      <c r="D109" s="249" t="s">
        <v>475</v>
      </c>
      <c r="E109" s="251">
        <v>50000</v>
      </c>
      <c r="F109" s="250" t="s">
        <v>27</v>
      </c>
      <c r="G109" s="250">
        <v>54399.29</v>
      </c>
      <c r="H109" s="297"/>
      <c r="I109" s="243"/>
      <c r="J109" s="266" t="s">
        <v>325</v>
      </c>
      <c r="K109" s="245" t="s">
        <v>474</v>
      </c>
      <c r="L109" s="249" t="s">
        <v>475</v>
      </c>
      <c r="M109" s="251">
        <v>50000</v>
      </c>
      <c r="N109" s="250">
        <v>0</v>
      </c>
      <c r="O109" s="250">
        <v>54399.29</v>
      </c>
    </row>
    <row r="110" spans="1:15" ht="23.25">
      <c r="A110" s="243"/>
      <c r="B110" s="266" t="s">
        <v>329</v>
      </c>
      <c r="C110" s="245" t="s">
        <v>476</v>
      </c>
      <c r="D110" s="249" t="s">
        <v>477</v>
      </c>
      <c r="E110" s="251">
        <v>70000</v>
      </c>
      <c r="F110" s="250">
        <v>19086.48</v>
      </c>
      <c r="G110" s="250">
        <v>58326.05</v>
      </c>
      <c r="H110" s="297"/>
      <c r="I110" s="243"/>
      <c r="J110" s="266" t="s">
        <v>329</v>
      </c>
      <c r="K110" s="245" t="s">
        <v>476</v>
      </c>
      <c r="L110" s="249" t="s">
        <v>477</v>
      </c>
      <c r="M110" s="251">
        <v>70000</v>
      </c>
      <c r="N110" s="250">
        <v>0</v>
      </c>
      <c r="O110" s="250">
        <v>58326.05</v>
      </c>
    </row>
    <row r="111" spans="1:15" ht="23.25">
      <c r="A111" s="243"/>
      <c r="B111" s="266" t="s">
        <v>332</v>
      </c>
      <c r="C111" s="245" t="s">
        <v>478</v>
      </c>
      <c r="D111" s="249" t="s">
        <v>479</v>
      </c>
      <c r="E111" s="250" t="s">
        <v>27</v>
      </c>
      <c r="F111" s="250" t="s">
        <v>27</v>
      </c>
      <c r="G111" s="250" t="s">
        <v>27</v>
      </c>
      <c r="H111" s="297"/>
      <c r="I111" s="243"/>
      <c r="J111" s="266" t="s">
        <v>332</v>
      </c>
      <c r="K111" s="245" t="s">
        <v>478</v>
      </c>
      <c r="L111" s="249" t="s">
        <v>479</v>
      </c>
      <c r="M111" s="250">
        <v>0</v>
      </c>
      <c r="N111" s="250">
        <v>0</v>
      </c>
      <c r="O111" s="250">
        <v>0</v>
      </c>
    </row>
    <row r="112" spans="1:15" ht="23.25">
      <c r="A112" s="243"/>
      <c r="B112" s="266" t="s">
        <v>335</v>
      </c>
      <c r="C112" s="245" t="s">
        <v>480</v>
      </c>
      <c r="D112" s="249" t="s">
        <v>481</v>
      </c>
      <c r="E112" s="251">
        <v>1500000</v>
      </c>
      <c r="F112" s="250" t="s">
        <v>27</v>
      </c>
      <c r="G112" s="250">
        <v>1186119</v>
      </c>
      <c r="H112" s="297"/>
      <c r="I112" s="243"/>
      <c r="J112" s="266" t="s">
        <v>335</v>
      </c>
      <c r="K112" s="245" t="s">
        <v>480</v>
      </c>
      <c r="L112" s="249" t="s">
        <v>481</v>
      </c>
      <c r="M112" s="251">
        <v>1500000</v>
      </c>
      <c r="N112" s="250">
        <v>368141</v>
      </c>
      <c r="O112" s="250">
        <v>1554260</v>
      </c>
    </row>
    <row r="113" spans="1:15" ht="23.25">
      <c r="A113" s="243"/>
      <c r="B113" s="266" t="s">
        <v>338</v>
      </c>
      <c r="C113" s="245" t="s">
        <v>482</v>
      </c>
      <c r="D113" s="249" t="s">
        <v>483</v>
      </c>
      <c r="E113" s="250">
        <v>0</v>
      </c>
      <c r="F113" s="250" t="s">
        <v>27</v>
      </c>
      <c r="G113" s="250">
        <v>0</v>
      </c>
      <c r="H113" s="297"/>
      <c r="I113" s="243"/>
      <c r="J113" s="266" t="s">
        <v>338</v>
      </c>
      <c r="K113" s="245" t="s">
        <v>482</v>
      </c>
      <c r="L113" s="249" t="s">
        <v>483</v>
      </c>
      <c r="M113" s="250">
        <v>0</v>
      </c>
      <c r="N113" s="250">
        <v>0</v>
      </c>
      <c r="O113" s="250">
        <v>0</v>
      </c>
    </row>
    <row r="114" spans="1:15" ht="23.25">
      <c r="A114" s="243"/>
      <c r="B114" s="266" t="s">
        <v>342</v>
      </c>
      <c r="C114" s="245" t="s">
        <v>484</v>
      </c>
      <c r="D114" s="249" t="s">
        <v>485</v>
      </c>
      <c r="E114" s="250">
        <v>0</v>
      </c>
      <c r="F114" s="250" t="s">
        <v>27</v>
      </c>
      <c r="G114" s="250">
        <v>0</v>
      </c>
      <c r="H114" s="297"/>
      <c r="I114" s="243"/>
      <c r="J114" s="266" t="s">
        <v>342</v>
      </c>
      <c r="K114" s="245" t="s">
        <v>484</v>
      </c>
      <c r="L114" s="249" t="s">
        <v>485</v>
      </c>
      <c r="M114" s="250">
        <v>0</v>
      </c>
      <c r="N114" s="250">
        <v>0</v>
      </c>
      <c r="O114" s="250">
        <v>0</v>
      </c>
    </row>
    <row r="115" spans="1:15" ht="23.25">
      <c r="A115" s="243"/>
      <c r="B115" s="266" t="s">
        <v>345</v>
      </c>
      <c r="C115" s="245" t="s">
        <v>486</v>
      </c>
      <c r="D115" s="249" t="s">
        <v>487</v>
      </c>
      <c r="E115" s="250">
        <v>0</v>
      </c>
      <c r="F115" s="250" t="s">
        <v>27</v>
      </c>
      <c r="G115" s="250">
        <v>0</v>
      </c>
      <c r="H115" s="297"/>
      <c r="I115" s="243"/>
      <c r="J115" s="266" t="s">
        <v>345</v>
      </c>
      <c r="K115" s="245" t="s">
        <v>486</v>
      </c>
      <c r="L115" s="249" t="s">
        <v>487</v>
      </c>
      <c r="M115" s="250">
        <v>0</v>
      </c>
      <c r="N115" s="250">
        <v>0</v>
      </c>
      <c r="O115" s="250">
        <v>0</v>
      </c>
    </row>
    <row r="116" spans="1:15" ht="23.25">
      <c r="A116" s="243"/>
      <c r="B116" s="266" t="s">
        <v>350</v>
      </c>
      <c r="C116" s="245" t="s">
        <v>488</v>
      </c>
      <c r="D116" s="249" t="s">
        <v>489</v>
      </c>
      <c r="E116" s="250">
        <v>0</v>
      </c>
      <c r="F116" s="250" t="s">
        <v>27</v>
      </c>
      <c r="G116" s="250">
        <v>0</v>
      </c>
      <c r="H116" s="297"/>
      <c r="I116" s="243"/>
      <c r="J116" s="266" t="s">
        <v>350</v>
      </c>
      <c r="K116" s="245" t="s">
        <v>488</v>
      </c>
      <c r="L116" s="249" t="s">
        <v>489</v>
      </c>
      <c r="M116" s="250">
        <v>0</v>
      </c>
      <c r="N116" s="250">
        <v>0</v>
      </c>
      <c r="O116" s="250">
        <v>0</v>
      </c>
    </row>
    <row r="117" spans="1:15" ht="23.25">
      <c r="A117" s="256"/>
      <c r="B117" s="257"/>
      <c r="C117" s="268" t="s">
        <v>34</v>
      </c>
      <c r="D117" s="259"/>
      <c r="E117" s="254">
        <f>SUM(E99:E116)</f>
        <v>19343000</v>
      </c>
      <c r="F117" s="254">
        <f>SUM(F98:F116)</f>
        <v>2091702.9100000001</v>
      </c>
      <c r="G117" s="254">
        <f>SUM(G98:G116)</f>
        <v>14745380.84</v>
      </c>
      <c r="H117" s="308"/>
      <c r="I117" s="256"/>
      <c r="J117" s="257"/>
      <c r="K117" s="268" t="s">
        <v>34</v>
      </c>
      <c r="L117" s="259"/>
      <c r="M117" s="254">
        <f>SUM(M99:M116)</f>
        <v>19343000</v>
      </c>
      <c r="N117" s="254">
        <f>SUM(N98:N116)</f>
        <v>1045855.84</v>
      </c>
      <c r="O117" s="254">
        <f>SUM(O98:O116)</f>
        <v>15791236.68</v>
      </c>
    </row>
    <row r="118" spans="1:15" ht="23.25">
      <c r="A118" s="278"/>
      <c r="B118" s="248"/>
      <c r="C118" s="279"/>
      <c r="D118" s="266"/>
      <c r="E118" s="280"/>
      <c r="F118" s="281"/>
      <c r="G118" s="281"/>
      <c r="H118" s="281"/>
      <c r="I118" s="278"/>
      <c r="J118" s="248"/>
      <c r="K118" s="279"/>
      <c r="L118" s="266"/>
      <c r="M118" s="280"/>
      <c r="N118" s="281"/>
      <c r="O118" s="281"/>
    </row>
    <row r="119" spans="1:15" ht="23.25">
      <c r="A119" s="232"/>
      <c r="B119" s="233"/>
      <c r="C119" s="282"/>
      <c r="D119" s="235" t="s">
        <v>83</v>
      </c>
      <c r="E119" s="262" t="s">
        <v>33</v>
      </c>
      <c r="F119" s="262" t="s">
        <v>349</v>
      </c>
      <c r="G119" s="262" t="s">
        <v>277</v>
      </c>
      <c r="H119" s="302"/>
      <c r="I119" s="232"/>
      <c r="J119" s="233"/>
      <c r="K119" s="282"/>
      <c r="L119" s="235" t="s">
        <v>83</v>
      </c>
      <c r="M119" s="262" t="s">
        <v>33</v>
      </c>
      <c r="N119" s="262" t="s">
        <v>349</v>
      </c>
      <c r="O119" s="262" t="s">
        <v>277</v>
      </c>
    </row>
    <row r="120" spans="1:15" ht="26.25">
      <c r="A120" s="277" t="s">
        <v>490</v>
      </c>
      <c r="B120" s="248"/>
      <c r="C120" s="278"/>
      <c r="D120" s="249"/>
      <c r="E120" s="242"/>
      <c r="F120" s="242"/>
      <c r="G120" s="242"/>
      <c r="H120" s="293"/>
      <c r="I120" s="277" t="s">
        <v>490</v>
      </c>
      <c r="J120" s="248"/>
      <c r="K120" s="278"/>
      <c r="L120" s="249"/>
      <c r="M120" s="242"/>
      <c r="N120" s="242"/>
      <c r="O120" s="242"/>
    </row>
    <row r="121" spans="1:15" ht="26.25">
      <c r="A121" s="243"/>
      <c r="B121" s="244" t="s">
        <v>491</v>
      </c>
      <c r="C121" s="278"/>
      <c r="D121" s="246" t="s">
        <v>492</v>
      </c>
      <c r="E121" s="274">
        <v>30612045</v>
      </c>
      <c r="F121" s="275"/>
      <c r="G121" s="242"/>
      <c r="H121" s="293"/>
      <c r="I121" s="243"/>
      <c r="J121" s="244" t="s">
        <v>491</v>
      </c>
      <c r="K121" s="278"/>
      <c r="L121" s="246" t="s">
        <v>492</v>
      </c>
      <c r="M121" s="274">
        <v>30612045</v>
      </c>
      <c r="N121" s="275"/>
      <c r="O121" s="242"/>
    </row>
    <row r="122" spans="1:15" ht="23.25">
      <c r="A122" s="243"/>
      <c r="B122" s="266" t="s">
        <v>281</v>
      </c>
      <c r="C122" s="278" t="s">
        <v>493</v>
      </c>
      <c r="D122" s="249"/>
      <c r="E122" s="251"/>
      <c r="F122" s="250"/>
      <c r="G122" s="242"/>
      <c r="H122" s="293"/>
      <c r="I122" s="243"/>
      <c r="J122" s="266" t="s">
        <v>281</v>
      </c>
      <c r="K122" s="278" t="s">
        <v>493</v>
      </c>
      <c r="L122" s="249"/>
      <c r="M122" s="251"/>
      <c r="N122" s="250"/>
      <c r="O122" s="242"/>
    </row>
    <row r="123" spans="1:15" ht="23.25">
      <c r="A123" s="243"/>
      <c r="B123" s="266"/>
      <c r="C123" s="278" t="s">
        <v>494</v>
      </c>
      <c r="D123" s="249" t="s">
        <v>495</v>
      </c>
      <c r="E123" s="251">
        <v>30612045</v>
      </c>
      <c r="F123" s="250" t="s">
        <v>27</v>
      </c>
      <c r="G123" s="250">
        <v>19584254</v>
      </c>
      <c r="H123" s="297"/>
      <c r="I123" s="243"/>
      <c r="J123" s="266"/>
      <c r="K123" s="278" t="s">
        <v>494</v>
      </c>
      <c r="L123" s="249" t="s">
        <v>495</v>
      </c>
      <c r="M123" s="251">
        <v>30612045</v>
      </c>
      <c r="N123" s="250">
        <v>0</v>
      </c>
      <c r="O123" s="250">
        <v>19584254</v>
      </c>
    </row>
    <row r="124" spans="1:15" ht="23.25">
      <c r="A124" s="243"/>
      <c r="B124" s="266" t="s">
        <v>284</v>
      </c>
      <c r="C124" s="278" t="s">
        <v>496</v>
      </c>
      <c r="D124" s="249" t="s">
        <v>497</v>
      </c>
      <c r="E124" s="250" t="s">
        <v>27</v>
      </c>
      <c r="F124" s="250" t="s">
        <v>27</v>
      </c>
      <c r="G124" s="250">
        <v>0</v>
      </c>
      <c r="H124" s="297"/>
      <c r="I124" s="243"/>
      <c r="J124" s="266" t="s">
        <v>284</v>
      </c>
      <c r="K124" s="278" t="s">
        <v>496</v>
      </c>
      <c r="L124" s="249" t="s">
        <v>497</v>
      </c>
      <c r="M124" s="250">
        <v>0</v>
      </c>
      <c r="N124" s="250">
        <v>0</v>
      </c>
      <c r="O124" s="250">
        <v>0</v>
      </c>
    </row>
    <row r="125" spans="1:15" ht="23.25">
      <c r="A125" s="243"/>
      <c r="B125" s="266" t="s">
        <v>287</v>
      </c>
      <c r="C125" s="278" t="s">
        <v>498</v>
      </c>
      <c r="D125" s="249" t="s">
        <v>499</v>
      </c>
      <c r="E125" s="250" t="s">
        <v>27</v>
      </c>
      <c r="F125" s="250" t="s">
        <v>27</v>
      </c>
      <c r="G125" s="250">
        <v>0</v>
      </c>
      <c r="H125" s="297"/>
      <c r="I125" s="243"/>
      <c r="J125" s="266" t="s">
        <v>287</v>
      </c>
      <c r="K125" s="278" t="s">
        <v>498</v>
      </c>
      <c r="L125" s="249" t="s">
        <v>499</v>
      </c>
      <c r="M125" s="250">
        <v>0</v>
      </c>
      <c r="N125" s="250">
        <v>0</v>
      </c>
      <c r="O125" s="250">
        <v>0</v>
      </c>
    </row>
    <row r="126" spans="1:15" ht="23.25">
      <c r="A126" s="243"/>
      <c r="B126" s="248"/>
      <c r="C126" s="283" t="s">
        <v>34</v>
      </c>
      <c r="D126" s="249"/>
      <c r="E126" s="254">
        <f>SUM(E122:E125)</f>
        <v>30612045</v>
      </c>
      <c r="F126" s="276">
        <f>SUM(F122:F125)</f>
        <v>0</v>
      </c>
      <c r="G126" s="254">
        <f>SUM(G122:G125)</f>
        <v>19584254</v>
      </c>
      <c r="H126" s="299"/>
      <c r="I126" s="243"/>
      <c r="J126" s="248"/>
      <c r="K126" s="283" t="s">
        <v>34</v>
      </c>
      <c r="L126" s="249"/>
      <c r="M126" s="254">
        <f>SUM(M122:M125)</f>
        <v>30612045</v>
      </c>
      <c r="N126" s="254">
        <f>SUM(N122:N125)</f>
        <v>0</v>
      </c>
      <c r="O126" s="254">
        <f>SUM(O122:O125)</f>
        <v>19584254</v>
      </c>
    </row>
    <row r="127" spans="1:15" ht="26.25">
      <c r="A127" s="277" t="s">
        <v>500</v>
      </c>
      <c r="B127" s="248"/>
      <c r="C127" s="278"/>
      <c r="D127" s="249"/>
      <c r="E127" s="242"/>
      <c r="F127" s="242"/>
      <c r="G127" s="242"/>
      <c r="H127" s="293"/>
      <c r="I127" s="277" t="s">
        <v>500</v>
      </c>
      <c r="J127" s="248"/>
      <c r="K127" s="278"/>
      <c r="L127" s="249"/>
      <c r="M127" s="242"/>
      <c r="N127" s="242"/>
      <c r="O127" s="242"/>
    </row>
    <row r="128" spans="1:15" ht="26.25">
      <c r="A128" s="243"/>
      <c r="B128" s="244" t="s">
        <v>501</v>
      </c>
      <c r="C128" s="278"/>
      <c r="D128" s="246" t="s">
        <v>502</v>
      </c>
      <c r="E128" s="250"/>
      <c r="F128" s="250"/>
      <c r="G128" s="250"/>
      <c r="H128" s="297"/>
      <c r="I128" s="243"/>
      <c r="J128" s="244" t="s">
        <v>501</v>
      </c>
      <c r="K128" s="278"/>
      <c r="L128" s="246" t="s">
        <v>502</v>
      </c>
      <c r="M128" s="250"/>
      <c r="N128" s="250"/>
      <c r="O128" s="250"/>
    </row>
    <row r="129" spans="1:15" ht="23.25">
      <c r="A129" s="243"/>
      <c r="B129" s="266" t="s">
        <v>296</v>
      </c>
      <c r="C129" s="248" t="s">
        <v>503</v>
      </c>
      <c r="D129" s="249" t="s">
        <v>504</v>
      </c>
      <c r="E129" s="250">
        <v>0</v>
      </c>
      <c r="F129" s="250">
        <v>0</v>
      </c>
      <c r="G129" s="250">
        <v>0</v>
      </c>
      <c r="H129" s="297"/>
      <c r="I129" s="243"/>
      <c r="J129" s="266" t="s">
        <v>281</v>
      </c>
      <c r="K129" s="248" t="s">
        <v>505</v>
      </c>
      <c r="L129" s="249" t="s">
        <v>504</v>
      </c>
      <c r="M129" s="250">
        <v>0</v>
      </c>
      <c r="N129" s="250">
        <v>0</v>
      </c>
      <c r="O129" s="250">
        <v>0</v>
      </c>
    </row>
    <row r="130" spans="1:15" ht="23.25">
      <c r="A130" s="243"/>
      <c r="B130" s="266" t="s">
        <v>314</v>
      </c>
      <c r="C130" s="248" t="s">
        <v>506</v>
      </c>
      <c r="D130" s="249" t="s">
        <v>507</v>
      </c>
      <c r="E130" s="250">
        <v>0</v>
      </c>
      <c r="F130" s="250">
        <v>223920</v>
      </c>
      <c r="G130" s="250">
        <v>670842</v>
      </c>
      <c r="H130" s="297"/>
      <c r="I130" s="243"/>
      <c r="J130" s="266" t="s">
        <v>284</v>
      </c>
      <c r="K130" s="248" t="s">
        <v>508</v>
      </c>
      <c r="L130" s="249" t="s">
        <v>507</v>
      </c>
      <c r="M130" s="250">
        <v>0</v>
      </c>
      <c r="N130" s="250" t="s">
        <v>27</v>
      </c>
      <c r="O130" s="250">
        <v>670842</v>
      </c>
    </row>
    <row r="131" spans="1:15" ht="23.25">
      <c r="A131" s="243"/>
      <c r="B131" s="266" t="s">
        <v>317</v>
      </c>
      <c r="C131" s="248" t="s">
        <v>509</v>
      </c>
      <c r="D131" s="249" t="s">
        <v>510</v>
      </c>
      <c r="E131" s="250">
        <v>0</v>
      </c>
      <c r="F131" s="250">
        <v>0</v>
      </c>
      <c r="G131" s="250">
        <v>50000</v>
      </c>
      <c r="H131" s="297"/>
      <c r="I131" s="243"/>
      <c r="J131" s="266" t="s">
        <v>287</v>
      </c>
      <c r="K131" s="248" t="s">
        <v>511</v>
      </c>
      <c r="L131" s="249" t="s">
        <v>510</v>
      </c>
      <c r="M131" s="250">
        <v>0</v>
      </c>
      <c r="N131" s="250">
        <v>0</v>
      </c>
      <c r="O131" s="250">
        <v>50000</v>
      </c>
    </row>
    <row r="132" spans="1:15" ht="23.25">
      <c r="A132" s="243"/>
      <c r="B132" s="266" t="s">
        <v>322</v>
      </c>
      <c r="C132" s="248" t="s">
        <v>512</v>
      </c>
      <c r="D132" s="249"/>
      <c r="E132" s="250">
        <v>0</v>
      </c>
      <c r="F132" s="250">
        <v>0</v>
      </c>
      <c r="G132" s="250">
        <v>1035</v>
      </c>
      <c r="H132" s="297"/>
      <c r="I132" s="243"/>
      <c r="J132" s="266" t="s">
        <v>290</v>
      </c>
      <c r="K132" s="248" t="s">
        <v>513</v>
      </c>
      <c r="L132" s="249"/>
      <c r="M132" s="250">
        <v>0</v>
      </c>
      <c r="N132" s="250">
        <v>2190</v>
      </c>
      <c r="O132" s="250">
        <v>3225</v>
      </c>
    </row>
    <row r="133" spans="1:15" ht="23.25">
      <c r="A133" s="243"/>
      <c r="B133" s="266" t="s">
        <v>350</v>
      </c>
      <c r="C133" s="248" t="s">
        <v>514</v>
      </c>
      <c r="D133" s="249"/>
      <c r="E133" s="250">
        <v>0</v>
      </c>
      <c r="F133" s="250">
        <v>0</v>
      </c>
      <c r="G133" s="251">
        <v>1237786</v>
      </c>
      <c r="H133" s="298"/>
      <c r="I133" s="243"/>
      <c r="J133" s="266" t="s">
        <v>293</v>
      </c>
      <c r="K133" s="248" t="s">
        <v>515</v>
      </c>
      <c r="L133" s="249"/>
      <c r="M133" s="250">
        <v>0</v>
      </c>
      <c r="N133" s="250">
        <v>0</v>
      </c>
      <c r="O133" s="251">
        <v>1237786</v>
      </c>
    </row>
    <row r="134" spans="1:15" ht="23.25">
      <c r="A134" s="243"/>
      <c r="B134" s="266" t="s">
        <v>353</v>
      </c>
      <c r="C134" s="248" t="s">
        <v>516</v>
      </c>
      <c r="D134" s="249"/>
      <c r="E134" s="250">
        <v>0</v>
      </c>
      <c r="F134" s="250">
        <v>96000</v>
      </c>
      <c r="G134" s="251">
        <v>288000</v>
      </c>
      <c r="H134" s="298"/>
      <c r="I134" s="243"/>
      <c r="J134" s="266" t="s">
        <v>296</v>
      </c>
      <c r="K134" s="248" t="s">
        <v>517</v>
      </c>
      <c r="L134" s="249"/>
      <c r="M134" s="250">
        <v>0</v>
      </c>
      <c r="N134" s="250">
        <v>0</v>
      </c>
      <c r="O134" s="251">
        <v>288000</v>
      </c>
    </row>
    <row r="135" spans="1:15" ht="23.25">
      <c r="A135" s="243"/>
      <c r="B135" s="266" t="s">
        <v>356</v>
      </c>
      <c r="C135" s="248" t="s">
        <v>518</v>
      </c>
      <c r="D135" s="249"/>
      <c r="E135" s="250">
        <v>0</v>
      </c>
      <c r="F135" s="250">
        <v>394814</v>
      </c>
      <c r="G135" s="251">
        <v>670199</v>
      </c>
      <c r="H135" s="298"/>
      <c r="I135" s="243"/>
      <c r="J135" s="266" t="s">
        <v>314</v>
      </c>
      <c r="K135" s="248" t="s">
        <v>519</v>
      </c>
      <c r="L135" s="249"/>
      <c r="M135" s="250">
        <v>0</v>
      </c>
      <c r="N135" s="250">
        <v>0</v>
      </c>
      <c r="O135" s="251">
        <v>670199</v>
      </c>
    </row>
    <row r="136" spans="1:15" ht="23.25">
      <c r="A136" s="243"/>
      <c r="B136" s="266" t="s">
        <v>359</v>
      </c>
      <c r="C136" s="248" t="s">
        <v>520</v>
      </c>
      <c r="D136" s="249"/>
      <c r="E136" s="250">
        <v>0</v>
      </c>
      <c r="F136" s="250">
        <v>1492000</v>
      </c>
      <c r="G136" s="251">
        <v>3730000</v>
      </c>
      <c r="H136" s="298"/>
      <c r="I136" s="243"/>
      <c r="J136" s="266" t="s">
        <v>317</v>
      </c>
      <c r="K136" s="248" t="s">
        <v>520</v>
      </c>
      <c r="L136" s="249"/>
      <c r="M136" s="250">
        <v>0</v>
      </c>
      <c r="N136" s="250">
        <v>0</v>
      </c>
      <c r="O136" s="251">
        <v>3730000</v>
      </c>
    </row>
    <row r="137" spans="1:15" ht="23.25">
      <c r="A137" s="243"/>
      <c r="B137" s="266" t="s">
        <v>362</v>
      </c>
      <c r="C137" s="248" t="s">
        <v>521</v>
      </c>
      <c r="D137" s="249"/>
      <c r="E137" s="250"/>
      <c r="F137" s="250" t="s">
        <v>27</v>
      </c>
      <c r="G137" s="251">
        <v>37787</v>
      </c>
      <c r="H137" s="298"/>
      <c r="I137" s="243"/>
      <c r="J137" s="266" t="s">
        <v>322</v>
      </c>
      <c r="K137" s="248" t="s">
        <v>522</v>
      </c>
      <c r="L137" s="249"/>
      <c r="M137" s="250"/>
      <c r="N137" s="250">
        <v>0</v>
      </c>
      <c r="O137" s="251">
        <v>37787</v>
      </c>
    </row>
    <row r="138" spans="1:15" ht="23.25">
      <c r="A138" s="243"/>
      <c r="B138" s="266" t="s">
        <v>365</v>
      </c>
      <c r="C138" s="248" t="s">
        <v>523</v>
      </c>
      <c r="D138" s="249"/>
      <c r="E138" s="250"/>
      <c r="F138" s="250">
        <v>91917</v>
      </c>
      <c r="G138" s="251">
        <v>3251539</v>
      </c>
      <c r="H138" s="298"/>
      <c r="I138" s="243"/>
      <c r="J138" s="266" t="s">
        <v>325</v>
      </c>
      <c r="K138" s="248" t="s">
        <v>524</v>
      </c>
      <c r="L138" s="249"/>
      <c r="M138" s="250"/>
      <c r="N138" s="250">
        <v>0</v>
      </c>
      <c r="O138" s="251">
        <v>3251539</v>
      </c>
    </row>
    <row r="139" spans="1:15" ht="23.25">
      <c r="A139" s="243"/>
      <c r="B139" s="266"/>
      <c r="C139" s="248"/>
      <c r="D139" s="249"/>
      <c r="E139" s="250"/>
      <c r="F139" s="250" t="s">
        <v>27</v>
      </c>
      <c r="G139" s="251">
        <v>246015</v>
      </c>
      <c r="H139" s="298"/>
      <c r="I139" s="243"/>
      <c r="J139" s="266" t="s">
        <v>329</v>
      </c>
      <c r="K139" s="248" t="s">
        <v>525</v>
      </c>
      <c r="L139" s="249"/>
      <c r="M139" s="250"/>
      <c r="N139" s="250">
        <v>0</v>
      </c>
      <c r="O139" s="251">
        <v>246015</v>
      </c>
    </row>
    <row r="140" spans="1:15" ht="23.25">
      <c r="A140" s="243"/>
      <c r="B140" s="266"/>
      <c r="C140" s="248"/>
      <c r="D140" s="249"/>
      <c r="E140" s="250"/>
      <c r="F140" s="250" t="s">
        <v>27</v>
      </c>
      <c r="G140" s="251">
        <v>5000</v>
      </c>
      <c r="H140" s="298"/>
      <c r="I140" s="243"/>
      <c r="J140" s="266" t="s">
        <v>332</v>
      </c>
      <c r="K140" s="248" t="s">
        <v>526</v>
      </c>
      <c r="L140" s="249"/>
      <c r="M140" s="250"/>
      <c r="N140" s="250">
        <v>0</v>
      </c>
      <c r="O140" s="251">
        <v>5000</v>
      </c>
    </row>
    <row r="141" spans="1:15" ht="23.25">
      <c r="A141" s="243"/>
      <c r="B141" s="266"/>
      <c r="C141" s="248"/>
      <c r="D141" s="249"/>
      <c r="E141" s="250"/>
      <c r="F141" s="250" t="s">
        <v>27</v>
      </c>
      <c r="G141" s="251">
        <v>15000</v>
      </c>
      <c r="H141" s="298"/>
      <c r="I141" s="243"/>
      <c r="J141" s="266" t="s">
        <v>335</v>
      </c>
      <c r="K141" s="248" t="s">
        <v>527</v>
      </c>
      <c r="L141" s="249"/>
      <c r="M141" s="250"/>
      <c r="N141" s="250">
        <v>0</v>
      </c>
      <c r="O141" s="251">
        <v>15000</v>
      </c>
    </row>
    <row r="142" spans="1:15" ht="23.25">
      <c r="A142" s="256"/>
      <c r="B142" s="257"/>
      <c r="C142" s="284" t="s">
        <v>34</v>
      </c>
      <c r="D142" s="259"/>
      <c r="E142" s="276">
        <f>SUM(E129:E141)</f>
        <v>0</v>
      </c>
      <c r="F142" s="276">
        <f>SUM(F129:F141)</f>
        <v>2298651</v>
      </c>
      <c r="G142" s="276">
        <f>SUM(G129:G141)</f>
        <v>10203203</v>
      </c>
      <c r="H142" s="309"/>
      <c r="I142" s="256"/>
      <c r="J142" s="257"/>
      <c r="K142" s="284" t="s">
        <v>34</v>
      </c>
      <c r="L142" s="259"/>
      <c r="M142" s="276">
        <f>SUM(M129:M141)</f>
        <v>0</v>
      </c>
      <c r="N142" s="276">
        <f>SUM(N129:N141)</f>
        <v>2190</v>
      </c>
      <c r="O142" s="276">
        <f>SUM(O127:O141)</f>
        <v>10205393</v>
      </c>
    </row>
    <row r="143" spans="1:15" ht="24" thickBot="1">
      <c r="A143" s="278"/>
      <c r="B143" s="248"/>
      <c r="C143" s="285" t="s">
        <v>528</v>
      </c>
      <c r="D143" s="286"/>
      <c r="E143" s="287">
        <f>SUM(E15,E60,E77,E84,E93,E96,E117,E126,E142)</f>
        <v>53769045</v>
      </c>
      <c r="F143" s="287">
        <f>SUM(F15,F60,F77,F84,F93,F96,F117,F126,F142)</f>
        <v>4593035.21</v>
      </c>
      <c r="G143" s="287">
        <f>SUM(G15,G60,G77,G84,G93,G96,G117,G126,G142)</f>
        <v>48139247.5</v>
      </c>
      <c r="H143" s="310"/>
      <c r="I143" s="278"/>
      <c r="J143" s="248"/>
      <c r="K143" s="285" t="s">
        <v>528</v>
      </c>
      <c r="L143" s="286"/>
      <c r="M143" s="287">
        <v>54489045</v>
      </c>
      <c r="N143" s="287">
        <f>SUM(N15,N60,N77,N84,N93,N96,N117,N126,N142)</f>
        <v>1289182.97</v>
      </c>
      <c r="O143" s="287">
        <f>SUM(O15,O60,O77,O84,O93,O96,O117,O126,O142)</f>
        <v>49428430.47</v>
      </c>
    </row>
    <row r="144" spans="1:15" ht="24" thickTop="1">
      <c r="A144" s="889" t="s">
        <v>271</v>
      </c>
      <c r="B144" s="889"/>
      <c r="C144" s="889"/>
      <c r="D144" s="889"/>
      <c r="E144" s="889"/>
      <c r="F144" s="889"/>
      <c r="G144" s="889"/>
      <c r="H144" s="227"/>
      <c r="I144" s="288"/>
      <c r="J144" s="289"/>
      <c r="K144" s="288"/>
      <c r="L144" s="290"/>
      <c r="M144" s="291"/>
      <c r="N144" s="291"/>
      <c r="O144" s="291"/>
    </row>
    <row r="145" spans="1:15" ht="38.25">
      <c r="A145" s="890" t="s">
        <v>71</v>
      </c>
      <c r="B145" s="890"/>
      <c r="C145" s="890"/>
      <c r="D145" s="890"/>
      <c r="E145" s="890"/>
      <c r="F145" s="890"/>
      <c r="G145" s="890"/>
      <c r="H145" s="229"/>
      <c r="I145" s="288"/>
      <c r="J145" s="289"/>
      <c r="K145" s="288"/>
      <c r="L145" s="290"/>
      <c r="M145" s="291"/>
      <c r="N145" s="291"/>
      <c r="O145" s="291"/>
    </row>
    <row r="146" spans="1:8" ht="27.75">
      <c r="A146" s="891" t="s">
        <v>272</v>
      </c>
      <c r="B146" s="891"/>
      <c r="C146" s="891"/>
      <c r="D146" s="891"/>
      <c r="E146" s="891"/>
      <c r="F146" s="891"/>
      <c r="G146" s="891"/>
      <c r="H146" s="230"/>
    </row>
    <row r="147" spans="1:8" ht="27.75">
      <c r="A147" s="891" t="s">
        <v>273</v>
      </c>
      <c r="B147" s="891"/>
      <c r="C147" s="891"/>
      <c r="D147" s="891"/>
      <c r="E147" s="891"/>
      <c r="F147" s="891"/>
      <c r="G147" s="891"/>
      <c r="H147" s="230"/>
    </row>
    <row r="148" spans="1:8" ht="24">
      <c r="A148" s="892" t="s">
        <v>529</v>
      </c>
      <c r="B148" s="892"/>
      <c r="C148" s="892"/>
      <c r="D148" s="892"/>
      <c r="E148" s="892"/>
      <c r="F148" s="892"/>
      <c r="G148" s="892"/>
      <c r="H148" s="292"/>
    </row>
    <row r="149" spans="1:8" ht="23.25">
      <c r="A149" s="232"/>
      <c r="B149" s="233"/>
      <c r="C149" s="234"/>
      <c r="D149" s="235" t="s">
        <v>83</v>
      </c>
      <c r="E149" s="236" t="s">
        <v>33</v>
      </c>
      <c r="F149" s="236" t="s">
        <v>276</v>
      </c>
      <c r="G149" s="236" t="s">
        <v>277</v>
      </c>
      <c r="H149" s="311"/>
    </row>
    <row r="150" spans="1:8" ht="26.25">
      <c r="A150" s="237" t="s">
        <v>278</v>
      </c>
      <c r="B150" s="238"/>
      <c r="C150" s="239"/>
      <c r="D150" s="240"/>
      <c r="E150" s="241"/>
      <c r="F150" s="241"/>
      <c r="G150" s="242"/>
      <c r="H150" s="280"/>
    </row>
    <row r="151" spans="1:8" ht="26.25">
      <c r="A151" s="243"/>
      <c r="B151" s="244" t="s">
        <v>279</v>
      </c>
      <c r="C151" s="245"/>
      <c r="D151" s="246" t="s">
        <v>280</v>
      </c>
      <c r="E151" s="247">
        <v>1310000</v>
      </c>
      <c r="F151" s="247"/>
      <c r="G151" s="242"/>
      <c r="H151" s="280"/>
    </row>
    <row r="152" spans="1:8" ht="23.25">
      <c r="A152" s="243"/>
      <c r="B152" s="248" t="s">
        <v>281</v>
      </c>
      <c r="C152" s="245" t="s">
        <v>282</v>
      </c>
      <c r="D152" s="249" t="s">
        <v>283</v>
      </c>
      <c r="E152" s="242">
        <v>800000</v>
      </c>
      <c r="F152" s="250">
        <v>55</v>
      </c>
      <c r="G152" s="250">
        <v>771753</v>
      </c>
      <c r="H152" s="281"/>
    </row>
    <row r="153" spans="1:8" ht="23.25">
      <c r="A153" s="243"/>
      <c r="B153" s="248" t="s">
        <v>284</v>
      </c>
      <c r="C153" s="245" t="s">
        <v>285</v>
      </c>
      <c r="D153" s="249" t="s">
        <v>286</v>
      </c>
      <c r="E153" s="242">
        <v>50000</v>
      </c>
      <c r="F153" s="251">
        <v>1249.65</v>
      </c>
      <c r="G153" s="251">
        <v>35602.2</v>
      </c>
      <c r="H153" s="312"/>
    </row>
    <row r="154" spans="1:8" ht="23.25">
      <c r="A154" s="243"/>
      <c r="B154" s="248" t="s">
        <v>287</v>
      </c>
      <c r="C154" s="245" t="s">
        <v>288</v>
      </c>
      <c r="D154" s="249" t="s">
        <v>289</v>
      </c>
      <c r="E154" s="242">
        <v>400000</v>
      </c>
      <c r="F154" s="251">
        <v>240</v>
      </c>
      <c r="G154" s="251">
        <v>414015</v>
      </c>
      <c r="H154" s="312"/>
    </row>
    <row r="155" spans="1:8" ht="23.25">
      <c r="A155" s="243"/>
      <c r="B155" s="248" t="s">
        <v>290</v>
      </c>
      <c r="C155" s="245" t="s">
        <v>291</v>
      </c>
      <c r="D155" s="249" t="s">
        <v>292</v>
      </c>
      <c r="E155" s="242">
        <v>60000</v>
      </c>
      <c r="F155" s="251">
        <v>4922</v>
      </c>
      <c r="G155" s="251">
        <v>60486</v>
      </c>
      <c r="H155" s="312"/>
    </row>
    <row r="156" spans="1:8" ht="23.25">
      <c r="A156" s="243"/>
      <c r="B156" s="248" t="s">
        <v>293</v>
      </c>
      <c r="C156" s="245" t="s">
        <v>294</v>
      </c>
      <c r="D156" s="249" t="s">
        <v>295</v>
      </c>
      <c r="E156" s="250" t="s">
        <v>27</v>
      </c>
      <c r="F156" s="250" t="s">
        <v>27</v>
      </c>
      <c r="G156" s="250" t="s">
        <v>27</v>
      </c>
      <c r="H156" s="281"/>
    </row>
    <row r="157" spans="1:8" ht="23.25">
      <c r="A157" s="243"/>
      <c r="B157" s="248" t="s">
        <v>296</v>
      </c>
      <c r="C157" s="245" t="s">
        <v>297</v>
      </c>
      <c r="D157" s="249" t="s">
        <v>298</v>
      </c>
      <c r="E157" s="250" t="s">
        <v>27</v>
      </c>
      <c r="F157" s="250" t="s">
        <v>27</v>
      </c>
      <c r="G157" s="250" t="s">
        <v>27</v>
      </c>
      <c r="H157" s="281"/>
    </row>
    <row r="158" spans="1:8" ht="23.25">
      <c r="A158" s="243"/>
      <c r="B158" s="248"/>
      <c r="C158" s="252" t="s">
        <v>34</v>
      </c>
      <c r="D158" s="249"/>
      <c r="E158" s="253">
        <f>SUM(E152:E157)</f>
        <v>1310000</v>
      </c>
      <c r="F158" s="254">
        <f>SUM(F152:F157)</f>
        <v>6466.65</v>
      </c>
      <c r="G158" s="254">
        <f>SUM(G152:G157)</f>
        <v>1281856.2</v>
      </c>
      <c r="H158" s="313"/>
    </row>
    <row r="159" spans="1:8" ht="26.25">
      <c r="A159" s="243"/>
      <c r="B159" s="244" t="s">
        <v>299</v>
      </c>
      <c r="C159" s="245"/>
      <c r="D159" s="246" t="s">
        <v>300</v>
      </c>
      <c r="E159" s="247">
        <v>913000</v>
      </c>
      <c r="F159" s="247"/>
      <c r="G159" s="242"/>
      <c r="H159" s="280"/>
    </row>
    <row r="160" spans="1:8" ht="23.25">
      <c r="A160" s="243"/>
      <c r="B160" s="248" t="s">
        <v>281</v>
      </c>
      <c r="C160" s="245" t="s">
        <v>301</v>
      </c>
      <c r="D160" s="249"/>
      <c r="E160" s="242"/>
      <c r="F160" s="242"/>
      <c r="G160" s="242"/>
      <c r="H160" s="280"/>
    </row>
    <row r="161" spans="1:8" ht="23.25">
      <c r="A161" s="243"/>
      <c r="B161" s="248"/>
      <c r="C161" s="245" t="s">
        <v>302</v>
      </c>
      <c r="D161" s="249" t="s">
        <v>303</v>
      </c>
      <c r="E161" s="242">
        <v>95000</v>
      </c>
      <c r="F161" s="242">
        <v>7815</v>
      </c>
      <c r="G161" s="242">
        <v>95094</v>
      </c>
      <c r="H161" s="280"/>
    </row>
    <row r="162" spans="1:8" ht="23.25">
      <c r="A162" s="243"/>
      <c r="B162" s="248" t="s">
        <v>284</v>
      </c>
      <c r="C162" s="245" t="s">
        <v>304</v>
      </c>
      <c r="D162" s="249" t="s">
        <v>305</v>
      </c>
      <c r="E162" s="242">
        <v>3500</v>
      </c>
      <c r="F162" s="251">
        <v>14.55</v>
      </c>
      <c r="G162" s="251">
        <v>3113.7</v>
      </c>
      <c r="H162" s="312"/>
    </row>
    <row r="163" spans="1:8" ht="23.25">
      <c r="A163" s="243"/>
      <c r="B163" s="248" t="s">
        <v>287</v>
      </c>
      <c r="C163" s="245" t="s">
        <v>306</v>
      </c>
      <c r="D163" s="249" t="s">
        <v>307</v>
      </c>
      <c r="E163" s="242">
        <v>3000</v>
      </c>
      <c r="F163" s="250">
        <v>0</v>
      </c>
      <c r="G163" s="250">
        <v>100</v>
      </c>
      <c r="H163" s="281"/>
    </row>
    <row r="164" spans="1:8" ht="23.25">
      <c r="A164" s="243"/>
      <c r="B164" s="248" t="s">
        <v>290</v>
      </c>
      <c r="C164" s="245" t="s">
        <v>308</v>
      </c>
      <c r="D164" s="249" t="s">
        <v>309</v>
      </c>
      <c r="E164" s="251">
        <v>1000</v>
      </c>
      <c r="F164" s="250">
        <v>0</v>
      </c>
      <c r="G164" s="250">
        <v>0</v>
      </c>
      <c r="H164" s="281"/>
    </row>
    <row r="165" spans="1:8" ht="23.25">
      <c r="A165" s="243"/>
      <c r="B165" s="248" t="s">
        <v>293</v>
      </c>
      <c r="C165" s="245" t="s">
        <v>310</v>
      </c>
      <c r="D165" s="249" t="s">
        <v>311</v>
      </c>
      <c r="E165" s="251">
        <v>1000</v>
      </c>
      <c r="F165" s="250">
        <v>0</v>
      </c>
      <c r="G165" s="250">
        <v>0</v>
      </c>
      <c r="H165" s="281"/>
    </row>
    <row r="166" spans="1:8" ht="23.25">
      <c r="A166" s="243"/>
      <c r="B166" s="248" t="s">
        <v>296</v>
      </c>
      <c r="C166" s="245" t="s">
        <v>312</v>
      </c>
      <c r="D166" s="249" t="s">
        <v>313</v>
      </c>
      <c r="E166" s="242">
        <v>350000</v>
      </c>
      <c r="F166" s="242">
        <v>25290</v>
      </c>
      <c r="G166" s="242">
        <v>367770</v>
      </c>
      <c r="H166" s="280"/>
    </row>
    <row r="167" spans="1:8" ht="23.25">
      <c r="A167" s="243"/>
      <c r="B167" s="248" t="s">
        <v>314</v>
      </c>
      <c r="C167" s="245" t="s">
        <v>315</v>
      </c>
      <c r="D167" s="249" t="s">
        <v>316</v>
      </c>
      <c r="E167" s="255" t="s">
        <v>27</v>
      </c>
      <c r="F167" s="250">
        <v>0</v>
      </c>
      <c r="G167" s="250">
        <v>0</v>
      </c>
      <c r="H167" s="281"/>
    </row>
    <row r="168" spans="1:8" ht="23.25">
      <c r="A168" s="243"/>
      <c r="B168" s="248" t="s">
        <v>317</v>
      </c>
      <c r="C168" s="245" t="s">
        <v>318</v>
      </c>
      <c r="D168" s="249"/>
      <c r="E168" s="255"/>
      <c r="F168" s="242"/>
      <c r="G168" s="242"/>
      <c r="H168" s="280"/>
    </row>
    <row r="169" spans="1:8" ht="23.25">
      <c r="A169" s="243"/>
      <c r="B169" s="248"/>
      <c r="C169" s="245" t="s">
        <v>319</v>
      </c>
      <c r="D169" s="249"/>
      <c r="E169" s="255"/>
      <c r="F169" s="242"/>
      <c r="G169" s="242"/>
      <c r="H169" s="280"/>
    </row>
    <row r="170" spans="1:8" ht="23.25">
      <c r="A170" s="243"/>
      <c r="B170" s="248"/>
      <c r="C170" s="245" t="s">
        <v>320</v>
      </c>
      <c r="D170" s="249" t="s">
        <v>321</v>
      </c>
      <c r="E170" s="250">
        <v>0</v>
      </c>
      <c r="F170" s="250">
        <v>0</v>
      </c>
      <c r="G170" s="250">
        <v>0</v>
      </c>
      <c r="H170" s="281"/>
    </row>
    <row r="171" spans="1:8" ht="23.25">
      <c r="A171" s="243"/>
      <c r="B171" s="248" t="s">
        <v>322</v>
      </c>
      <c r="C171" s="245" t="s">
        <v>323</v>
      </c>
      <c r="D171" s="249" t="s">
        <v>324</v>
      </c>
      <c r="E171" s="250">
        <v>0</v>
      </c>
      <c r="F171" s="250">
        <v>0</v>
      </c>
      <c r="G171" s="250">
        <v>0</v>
      </c>
      <c r="H171" s="281"/>
    </row>
    <row r="172" spans="1:8" ht="23.25">
      <c r="A172" s="243"/>
      <c r="B172" s="248" t="s">
        <v>325</v>
      </c>
      <c r="C172" s="245" t="s">
        <v>326</v>
      </c>
      <c r="D172" s="249"/>
      <c r="E172" s="250"/>
      <c r="F172" s="242"/>
      <c r="G172" s="242"/>
      <c r="H172" s="280"/>
    </row>
    <row r="173" spans="1:8" ht="23.25">
      <c r="A173" s="243"/>
      <c r="B173" s="248"/>
      <c r="C173" s="245" t="s">
        <v>327</v>
      </c>
      <c r="D173" s="249" t="s">
        <v>328</v>
      </c>
      <c r="E173" s="251">
        <v>3000</v>
      </c>
      <c r="F173" s="250">
        <v>0</v>
      </c>
      <c r="G173" s="250">
        <v>0</v>
      </c>
      <c r="H173" s="281"/>
    </row>
    <row r="174" spans="1:8" ht="23.25">
      <c r="A174" s="243"/>
      <c r="B174" s="248" t="s">
        <v>329</v>
      </c>
      <c r="C174" s="245" t="s">
        <v>330</v>
      </c>
      <c r="D174" s="249" t="s">
        <v>331</v>
      </c>
      <c r="E174" s="251">
        <v>3000</v>
      </c>
      <c r="F174" s="251">
        <v>240</v>
      </c>
      <c r="G174" s="251">
        <v>2860</v>
      </c>
      <c r="H174" s="312"/>
    </row>
    <row r="175" spans="1:8" ht="23.25">
      <c r="A175" s="243"/>
      <c r="B175" s="248" t="s">
        <v>332</v>
      </c>
      <c r="C175" s="245" t="s">
        <v>333</v>
      </c>
      <c r="D175" s="249" t="s">
        <v>334</v>
      </c>
      <c r="E175" s="250">
        <v>0</v>
      </c>
      <c r="F175" s="250">
        <v>0</v>
      </c>
      <c r="G175" s="250">
        <v>0</v>
      </c>
      <c r="H175" s="281"/>
    </row>
    <row r="176" spans="1:8" ht="23.25">
      <c r="A176" s="243"/>
      <c r="B176" s="248" t="s">
        <v>335</v>
      </c>
      <c r="C176" s="245" t="s">
        <v>336</v>
      </c>
      <c r="D176" s="249" t="s">
        <v>337</v>
      </c>
      <c r="E176" s="251">
        <v>500</v>
      </c>
      <c r="F176" s="250">
        <v>0</v>
      </c>
      <c r="G176" s="250">
        <v>0</v>
      </c>
      <c r="H176" s="281"/>
    </row>
    <row r="177" spans="1:8" ht="23.25">
      <c r="A177" s="243"/>
      <c r="B177" s="248" t="s">
        <v>338</v>
      </c>
      <c r="C177" s="245" t="s">
        <v>339</v>
      </c>
      <c r="D177" s="249"/>
      <c r="E177" s="242"/>
      <c r="F177" s="251"/>
      <c r="G177" s="251"/>
      <c r="H177" s="312"/>
    </row>
    <row r="178" spans="1:8" ht="23.25">
      <c r="A178" s="243"/>
      <c r="B178" s="248"/>
      <c r="C178" s="245" t="s">
        <v>340</v>
      </c>
      <c r="D178" s="249" t="s">
        <v>341</v>
      </c>
      <c r="E178" s="251">
        <v>1000</v>
      </c>
      <c r="F178" s="250">
        <v>0</v>
      </c>
      <c r="G178" s="250">
        <v>0</v>
      </c>
      <c r="H178" s="281"/>
    </row>
    <row r="179" spans="1:8" ht="23.25">
      <c r="A179" s="243"/>
      <c r="B179" s="248" t="s">
        <v>342</v>
      </c>
      <c r="C179" s="245" t="s">
        <v>343</v>
      </c>
      <c r="D179" s="249" t="s">
        <v>344</v>
      </c>
      <c r="E179" s="250">
        <v>0</v>
      </c>
      <c r="F179" s="250">
        <v>0</v>
      </c>
      <c r="G179" s="250">
        <v>0</v>
      </c>
      <c r="H179" s="281"/>
    </row>
    <row r="180" spans="1:8" ht="23.25">
      <c r="A180" s="243"/>
      <c r="B180" s="248" t="s">
        <v>345</v>
      </c>
      <c r="C180" s="245" t="s">
        <v>346</v>
      </c>
      <c r="D180" s="249"/>
      <c r="E180" s="250"/>
      <c r="F180" s="250"/>
      <c r="G180" s="250"/>
      <c r="H180" s="281"/>
    </row>
    <row r="181" spans="1:8" ht="23.25">
      <c r="A181" s="256"/>
      <c r="B181" s="257"/>
      <c r="C181" s="258" t="s">
        <v>347</v>
      </c>
      <c r="D181" s="259" t="s">
        <v>348</v>
      </c>
      <c r="E181" s="260">
        <v>1000</v>
      </c>
      <c r="F181" s="261">
        <v>0</v>
      </c>
      <c r="G181" s="261">
        <v>0</v>
      </c>
      <c r="H181" s="281"/>
    </row>
    <row r="182" spans="1:8" ht="23.25">
      <c r="A182" s="232"/>
      <c r="B182" s="233"/>
      <c r="C182" s="234"/>
      <c r="D182" s="235" t="s">
        <v>83</v>
      </c>
      <c r="E182" s="262" t="s">
        <v>33</v>
      </c>
      <c r="F182" s="262" t="s">
        <v>349</v>
      </c>
      <c r="G182" s="262" t="s">
        <v>277</v>
      </c>
      <c r="H182" s="314"/>
    </row>
    <row r="183" spans="1:8" ht="23.25">
      <c r="A183" s="263"/>
      <c r="B183" s="264" t="s">
        <v>350</v>
      </c>
      <c r="C183" s="245" t="s">
        <v>351</v>
      </c>
      <c r="D183" s="240" t="s">
        <v>352</v>
      </c>
      <c r="E183" s="265">
        <v>100000</v>
      </c>
      <c r="F183" s="265">
        <v>5450</v>
      </c>
      <c r="G183" s="265">
        <v>75040</v>
      </c>
      <c r="H183" s="312"/>
    </row>
    <row r="184" spans="1:8" ht="23.25">
      <c r="A184" s="243"/>
      <c r="B184" s="248" t="s">
        <v>353</v>
      </c>
      <c r="C184" s="245" t="s">
        <v>354</v>
      </c>
      <c r="D184" s="249" t="s">
        <v>355</v>
      </c>
      <c r="E184" s="251">
        <v>1000</v>
      </c>
      <c r="F184" s="250">
        <v>0</v>
      </c>
      <c r="G184" s="250">
        <v>0</v>
      </c>
      <c r="H184" s="281"/>
    </row>
    <row r="185" spans="1:8" ht="23.25">
      <c r="A185" s="243"/>
      <c r="B185" s="248" t="s">
        <v>356</v>
      </c>
      <c r="C185" s="245" t="s">
        <v>357</v>
      </c>
      <c r="D185" s="249" t="s">
        <v>358</v>
      </c>
      <c r="E185" s="242">
        <v>20000</v>
      </c>
      <c r="F185" s="250">
        <v>0</v>
      </c>
      <c r="G185" s="250">
        <v>0</v>
      </c>
      <c r="H185" s="281"/>
    </row>
    <row r="186" spans="1:8" ht="23.25">
      <c r="A186" s="243"/>
      <c r="B186" s="248" t="s">
        <v>359</v>
      </c>
      <c r="C186" s="245" t="s">
        <v>360</v>
      </c>
      <c r="D186" s="249" t="s">
        <v>361</v>
      </c>
      <c r="E186" s="251">
        <v>100000</v>
      </c>
      <c r="F186" s="250">
        <v>9155</v>
      </c>
      <c r="G186" s="250">
        <v>118768</v>
      </c>
      <c r="H186" s="281"/>
    </row>
    <row r="187" spans="1:8" ht="23.25">
      <c r="A187" s="243"/>
      <c r="B187" s="248" t="s">
        <v>362</v>
      </c>
      <c r="C187" s="245" t="s">
        <v>363</v>
      </c>
      <c r="D187" s="249" t="s">
        <v>364</v>
      </c>
      <c r="E187" s="251">
        <v>50000</v>
      </c>
      <c r="F187" s="250">
        <v>260</v>
      </c>
      <c r="G187" s="250">
        <v>12470</v>
      </c>
      <c r="H187" s="281"/>
    </row>
    <row r="188" spans="1:8" ht="23.25">
      <c r="A188" s="243"/>
      <c r="B188" s="248" t="s">
        <v>365</v>
      </c>
      <c r="C188" s="245" t="s">
        <v>366</v>
      </c>
      <c r="D188" s="249"/>
      <c r="E188" s="250"/>
      <c r="F188" s="250"/>
      <c r="G188" s="250"/>
      <c r="H188" s="281"/>
    </row>
    <row r="189" spans="1:8" ht="23.25">
      <c r="A189" s="243"/>
      <c r="B189" s="248"/>
      <c r="C189" s="245" t="s">
        <v>367</v>
      </c>
      <c r="D189" s="249" t="s">
        <v>368</v>
      </c>
      <c r="E189" s="251">
        <v>60000</v>
      </c>
      <c r="F189" s="250">
        <v>0</v>
      </c>
      <c r="G189" s="250">
        <v>0</v>
      </c>
      <c r="H189" s="281"/>
    </row>
    <row r="190" spans="1:8" ht="23.25">
      <c r="A190" s="243"/>
      <c r="B190" s="248" t="s">
        <v>369</v>
      </c>
      <c r="C190" s="245" t="s">
        <v>370</v>
      </c>
      <c r="D190" s="249" t="s">
        <v>371</v>
      </c>
      <c r="E190" s="250">
        <v>0</v>
      </c>
      <c r="F190" s="250">
        <v>0</v>
      </c>
      <c r="G190" s="250">
        <v>0</v>
      </c>
      <c r="H190" s="281"/>
    </row>
    <row r="191" spans="1:8" ht="23.25">
      <c r="A191" s="243"/>
      <c r="B191" s="248" t="s">
        <v>372</v>
      </c>
      <c r="C191" s="245" t="s">
        <v>373</v>
      </c>
      <c r="D191" s="249"/>
      <c r="E191" s="250"/>
      <c r="F191" s="250"/>
      <c r="G191" s="250"/>
      <c r="H191" s="281"/>
    </row>
    <row r="192" spans="1:8" ht="23.25">
      <c r="A192" s="243"/>
      <c r="B192" s="248"/>
      <c r="C192" s="245" t="s">
        <v>374</v>
      </c>
      <c r="D192" s="249"/>
      <c r="E192" s="250"/>
      <c r="F192" s="250"/>
      <c r="G192" s="250"/>
      <c r="H192" s="281"/>
    </row>
    <row r="193" spans="1:8" ht="23.25">
      <c r="A193" s="243"/>
      <c r="B193" s="248"/>
      <c r="C193" s="245" t="s">
        <v>375</v>
      </c>
      <c r="D193" s="249" t="s">
        <v>376</v>
      </c>
      <c r="E193" s="242">
        <v>0</v>
      </c>
      <c r="F193" s="242">
        <v>0</v>
      </c>
      <c r="G193" s="242">
        <v>0</v>
      </c>
      <c r="H193" s="280"/>
    </row>
    <row r="194" spans="1:8" ht="23.25">
      <c r="A194" s="243"/>
      <c r="B194" s="248" t="s">
        <v>377</v>
      </c>
      <c r="C194" s="245" t="s">
        <v>378</v>
      </c>
      <c r="D194" s="249" t="s">
        <v>379</v>
      </c>
      <c r="E194" s="251">
        <v>0</v>
      </c>
      <c r="F194" s="251">
        <v>0</v>
      </c>
      <c r="G194" s="251">
        <v>0</v>
      </c>
      <c r="H194" s="312"/>
    </row>
    <row r="195" spans="1:8" ht="23.25">
      <c r="A195" s="243"/>
      <c r="B195" s="248" t="s">
        <v>380</v>
      </c>
      <c r="C195" s="245" t="s">
        <v>381</v>
      </c>
      <c r="D195" s="249" t="s">
        <v>382</v>
      </c>
      <c r="E195" s="242">
        <v>55000</v>
      </c>
      <c r="F195" s="251">
        <v>1099</v>
      </c>
      <c r="G195" s="251">
        <v>40406</v>
      </c>
      <c r="H195" s="312"/>
    </row>
    <row r="196" spans="1:8" ht="23.25">
      <c r="A196" s="243"/>
      <c r="B196" s="248" t="s">
        <v>383</v>
      </c>
      <c r="C196" s="245" t="s">
        <v>384</v>
      </c>
      <c r="D196" s="249" t="s">
        <v>385</v>
      </c>
      <c r="E196" s="242">
        <v>5000</v>
      </c>
      <c r="F196" s="242">
        <v>20</v>
      </c>
      <c r="G196" s="242">
        <v>3360</v>
      </c>
      <c r="H196" s="280"/>
    </row>
    <row r="197" spans="1:8" ht="23.25">
      <c r="A197" s="243"/>
      <c r="B197" s="248" t="s">
        <v>386</v>
      </c>
      <c r="C197" s="245" t="s">
        <v>387</v>
      </c>
      <c r="D197" s="249" t="s">
        <v>388</v>
      </c>
      <c r="E197" s="251">
        <v>0</v>
      </c>
      <c r="F197" s="250">
        <v>0</v>
      </c>
      <c r="G197" s="250">
        <v>0</v>
      </c>
      <c r="H197" s="281"/>
    </row>
    <row r="198" spans="1:8" ht="23.25">
      <c r="A198" s="243"/>
      <c r="B198" s="248" t="s">
        <v>389</v>
      </c>
      <c r="C198" s="245" t="s">
        <v>390</v>
      </c>
      <c r="D198" s="249" t="s">
        <v>27</v>
      </c>
      <c r="E198" s="251">
        <v>30000</v>
      </c>
      <c r="F198" s="251">
        <v>0</v>
      </c>
      <c r="G198" s="251">
        <v>20500</v>
      </c>
      <c r="H198" s="312"/>
    </row>
    <row r="199" spans="1:8" ht="23.25">
      <c r="A199" s="243"/>
      <c r="B199" s="248" t="s">
        <v>391</v>
      </c>
      <c r="C199" s="245" t="s">
        <v>393</v>
      </c>
      <c r="D199" s="249" t="s">
        <v>27</v>
      </c>
      <c r="E199" s="242">
        <v>0</v>
      </c>
      <c r="F199" s="251">
        <v>500</v>
      </c>
      <c r="G199" s="251">
        <v>76250</v>
      </c>
      <c r="H199" s="312"/>
    </row>
    <row r="200" spans="1:8" ht="23.25">
      <c r="A200" s="243"/>
      <c r="B200" s="248" t="s">
        <v>394</v>
      </c>
      <c r="C200" s="245" t="s">
        <v>395</v>
      </c>
      <c r="D200" s="249" t="s">
        <v>27</v>
      </c>
      <c r="E200" s="242">
        <v>0</v>
      </c>
      <c r="F200" s="242">
        <v>0</v>
      </c>
      <c r="G200" s="242">
        <v>0</v>
      </c>
      <c r="H200" s="280"/>
    </row>
    <row r="201" spans="1:8" ht="23.25">
      <c r="A201" s="243"/>
      <c r="B201" s="248" t="s">
        <v>397</v>
      </c>
      <c r="C201" s="245" t="s">
        <v>398</v>
      </c>
      <c r="D201" s="249" t="s">
        <v>27</v>
      </c>
      <c r="E201" s="242">
        <v>0</v>
      </c>
      <c r="F201" s="242">
        <v>0</v>
      </c>
      <c r="G201" s="242">
        <v>0</v>
      </c>
      <c r="H201" s="280"/>
    </row>
    <row r="202" spans="1:8" ht="23.25">
      <c r="A202" s="243"/>
      <c r="B202" s="248" t="s">
        <v>399</v>
      </c>
      <c r="C202" s="245" t="s">
        <v>400</v>
      </c>
      <c r="D202" s="249" t="s">
        <v>27</v>
      </c>
      <c r="E202" s="242">
        <v>30000</v>
      </c>
      <c r="F202" s="250">
        <v>200</v>
      </c>
      <c r="G202" s="250">
        <v>27700</v>
      </c>
      <c r="H202" s="281"/>
    </row>
    <row r="203" spans="1:8" ht="23.25">
      <c r="A203" s="243"/>
      <c r="B203" s="248"/>
      <c r="C203" s="252" t="s">
        <v>34</v>
      </c>
      <c r="D203" s="249"/>
      <c r="E203" s="253">
        <f>SUM(E160:E181,E183:E202)</f>
        <v>913000</v>
      </c>
      <c r="F203" s="253">
        <f>SUM(F160:F181,F183:F202)</f>
        <v>50043.55</v>
      </c>
      <c r="G203" s="253">
        <f>SUM(G160:G181,G183:G202)</f>
        <v>843431.7</v>
      </c>
      <c r="H203" s="315"/>
    </row>
    <row r="204" spans="1:8" ht="26.25">
      <c r="A204" s="243"/>
      <c r="B204" s="244" t="s">
        <v>401</v>
      </c>
      <c r="C204" s="245"/>
      <c r="D204" s="246" t="s">
        <v>402</v>
      </c>
      <c r="E204" s="247">
        <v>1612000</v>
      </c>
      <c r="F204" s="247"/>
      <c r="G204" s="247"/>
      <c r="H204" s="294"/>
    </row>
    <row r="205" spans="1:8" ht="23.25">
      <c r="A205" s="243"/>
      <c r="B205" s="266" t="s">
        <v>281</v>
      </c>
      <c r="C205" s="245" t="s">
        <v>403</v>
      </c>
      <c r="D205" s="249" t="s">
        <v>404</v>
      </c>
      <c r="E205" s="250">
        <v>0</v>
      </c>
      <c r="F205" s="250">
        <v>0</v>
      </c>
      <c r="G205" s="250">
        <v>0</v>
      </c>
      <c r="H205" s="281"/>
    </row>
    <row r="206" spans="1:8" ht="23.25">
      <c r="A206" s="243"/>
      <c r="B206" s="266" t="s">
        <v>284</v>
      </c>
      <c r="C206" s="245" t="s">
        <v>405</v>
      </c>
      <c r="D206" s="249"/>
      <c r="E206" s="242"/>
      <c r="F206" s="242"/>
      <c r="G206" s="242"/>
      <c r="H206" s="280"/>
    </row>
    <row r="207" spans="1:8" ht="23.25">
      <c r="A207" s="243"/>
      <c r="B207" s="266"/>
      <c r="C207" s="267" t="s">
        <v>406</v>
      </c>
      <c r="D207" s="249" t="s">
        <v>407</v>
      </c>
      <c r="E207" s="242">
        <v>200000</v>
      </c>
      <c r="F207" s="242">
        <v>27500</v>
      </c>
      <c r="G207" s="242">
        <v>336000</v>
      </c>
      <c r="H207" s="280"/>
    </row>
    <row r="208" spans="1:8" ht="23.25">
      <c r="A208" s="243"/>
      <c r="B208" s="266"/>
      <c r="C208" s="267" t="s">
        <v>408</v>
      </c>
      <c r="D208" s="249" t="s">
        <v>407</v>
      </c>
      <c r="E208" s="242">
        <v>100000</v>
      </c>
      <c r="F208" s="242">
        <v>12400</v>
      </c>
      <c r="G208" s="242">
        <v>162600</v>
      </c>
      <c r="H208" s="280"/>
    </row>
    <row r="209" spans="1:8" ht="23.25">
      <c r="A209" s="243"/>
      <c r="B209" s="266"/>
      <c r="C209" s="267" t="s">
        <v>409</v>
      </c>
      <c r="D209" s="249" t="s">
        <v>407</v>
      </c>
      <c r="E209" s="242">
        <v>100000</v>
      </c>
      <c r="F209" s="250">
        <v>8300</v>
      </c>
      <c r="G209" s="250">
        <v>89940</v>
      </c>
      <c r="H209" s="281"/>
    </row>
    <row r="210" spans="1:8" ht="23.25">
      <c r="A210" s="243"/>
      <c r="B210" s="266"/>
      <c r="C210" s="267" t="s">
        <v>410</v>
      </c>
      <c r="D210" s="249" t="s">
        <v>407</v>
      </c>
      <c r="E210" s="242">
        <v>200000</v>
      </c>
      <c r="F210" s="242">
        <v>18150</v>
      </c>
      <c r="G210" s="242">
        <v>219600</v>
      </c>
      <c r="H210" s="280"/>
    </row>
    <row r="211" spans="1:8" ht="23.25">
      <c r="A211" s="243"/>
      <c r="B211" s="266"/>
      <c r="C211" s="267" t="s">
        <v>411</v>
      </c>
      <c r="D211" s="249" t="s">
        <v>407</v>
      </c>
      <c r="E211" s="242">
        <v>90000</v>
      </c>
      <c r="F211" s="251">
        <v>7920</v>
      </c>
      <c r="G211" s="251">
        <v>123660</v>
      </c>
      <c r="H211" s="312"/>
    </row>
    <row r="212" spans="1:8" ht="23.25">
      <c r="A212" s="243"/>
      <c r="B212" s="266"/>
      <c r="C212" s="267" t="s">
        <v>412</v>
      </c>
      <c r="D212" s="249" t="s">
        <v>407</v>
      </c>
      <c r="E212" s="242">
        <v>500000</v>
      </c>
      <c r="F212" s="251">
        <v>51493</v>
      </c>
      <c r="G212" s="251">
        <v>443993</v>
      </c>
      <c r="H212" s="312"/>
    </row>
    <row r="213" spans="1:8" ht="23.25">
      <c r="A213" s="243"/>
      <c r="B213" s="266"/>
      <c r="C213" s="267" t="s">
        <v>413</v>
      </c>
      <c r="D213" s="249" t="s">
        <v>407</v>
      </c>
      <c r="E213" s="242">
        <v>10000</v>
      </c>
      <c r="F213" s="242">
        <v>-2300</v>
      </c>
      <c r="G213" s="242">
        <v>18300</v>
      </c>
      <c r="H213" s="280"/>
    </row>
    <row r="214" spans="1:8" ht="23.25">
      <c r="A214" s="243"/>
      <c r="B214" s="266" t="s">
        <v>287</v>
      </c>
      <c r="C214" s="245" t="s">
        <v>414</v>
      </c>
      <c r="D214" s="249"/>
      <c r="E214" s="242"/>
      <c r="F214" s="250"/>
      <c r="G214" s="250"/>
      <c r="H214" s="281"/>
    </row>
    <row r="215" spans="1:8" ht="23.25">
      <c r="A215" s="243"/>
      <c r="B215" s="266"/>
      <c r="C215" s="267" t="s">
        <v>415</v>
      </c>
      <c r="D215" s="249" t="s">
        <v>416</v>
      </c>
      <c r="E215" s="242">
        <v>300000</v>
      </c>
      <c r="F215" s="250">
        <v>48609.74</v>
      </c>
      <c r="G215" s="250">
        <v>150187.96</v>
      </c>
      <c r="H215" s="281"/>
    </row>
    <row r="216" spans="1:8" ht="23.25">
      <c r="A216" s="243"/>
      <c r="B216" s="266"/>
      <c r="C216" s="267" t="s">
        <v>417</v>
      </c>
      <c r="D216" s="249" t="s">
        <v>416</v>
      </c>
      <c r="E216" s="242">
        <v>55000</v>
      </c>
      <c r="F216" s="250">
        <v>-30</v>
      </c>
      <c r="G216" s="250">
        <v>62864.47</v>
      </c>
      <c r="H216" s="281"/>
    </row>
    <row r="217" spans="1:8" ht="23.25">
      <c r="A217" s="243"/>
      <c r="B217" s="266" t="s">
        <v>290</v>
      </c>
      <c r="C217" s="245" t="s">
        <v>418</v>
      </c>
      <c r="D217" s="249" t="s">
        <v>419</v>
      </c>
      <c r="E217" s="242">
        <v>1000</v>
      </c>
      <c r="F217" s="250">
        <v>0</v>
      </c>
      <c r="G217" s="250">
        <v>0</v>
      </c>
      <c r="H217" s="281"/>
    </row>
    <row r="218" spans="1:8" ht="23.25">
      <c r="A218" s="243"/>
      <c r="B218" s="266" t="s">
        <v>293</v>
      </c>
      <c r="C218" s="245" t="s">
        <v>420</v>
      </c>
      <c r="D218" s="249" t="s">
        <v>421</v>
      </c>
      <c r="E218" s="251">
        <v>1000</v>
      </c>
      <c r="F218" s="250">
        <v>0</v>
      </c>
      <c r="G218" s="250">
        <v>0</v>
      </c>
      <c r="H218" s="281"/>
    </row>
    <row r="219" spans="1:8" ht="23.25">
      <c r="A219" s="243"/>
      <c r="B219" s="266" t="s">
        <v>296</v>
      </c>
      <c r="C219" s="245" t="s">
        <v>422</v>
      </c>
      <c r="D219" s="249" t="s">
        <v>27</v>
      </c>
      <c r="E219" s="250">
        <v>55000</v>
      </c>
      <c r="F219" s="251">
        <v>9000</v>
      </c>
      <c r="G219" s="251">
        <v>71040</v>
      </c>
      <c r="H219" s="312"/>
    </row>
    <row r="220" spans="1:8" ht="23.25">
      <c r="A220" s="256"/>
      <c r="B220" s="257"/>
      <c r="C220" s="268" t="s">
        <v>34</v>
      </c>
      <c r="D220" s="259"/>
      <c r="E220" s="253">
        <f>SUM(E205:E219)</f>
        <v>1612000</v>
      </c>
      <c r="F220" s="253">
        <f>SUM(F205:F219)</f>
        <v>181042.74</v>
      </c>
      <c r="G220" s="253">
        <f>SUM(G205:G219)</f>
        <v>1678185.43</v>
      </c>
      <c r="H220" s="315"/>
    </row>
    <row r="221" spans="1:8" ht="23.25">
      <c r="A221" s="269"/>
      <c r="B221" s="264"/>
      <c r="C221" s="270"/>
      <c r="D221" s="271"/>
      <c r="E221" s="272"/>
      <c r="F221" s="272"/>
      <c r="G221" s="272"/>
      <c r="H221" s="280"/>
    </row>
    <row r="222" spans="1:8" ht="23.25">
      <c r="A222" s="232"/>
      <c r="B222" s="233"/>
      <c r="C222" s="234"/>
      <c r="D222" s="235" t="s">
        <v>83</v>
      </c>
      <c r="E222" s="262" t="s">
        <v>33</v>
      </c>
      <c r="F222" s="262" t="s">
        <v>349</v>
      </c>
      <c r="G222" s="262" t="s">
        <v>277</v>
      </c>
      <c r="H222" s="314"/>
    </row>
    <row r="223" spans="1:8" ht="26.25">
      <c r="A223" s="263"/>
      <c r="B223" s="273" t="s">
        <v>423</v>
      </c>
      <c r="C223" s="245"/>
      <c r="D223" s="246" t="s">
        <v>424</v>
      </c>
      <c r="E223" s="274">
        <v>110000</v>
      </c>
      <c r="F223" s="250"/>
      <c r="G223" s="250"/>
      <c r="H223" s="281"/>
    </row>
    <row r="224" spans="1:8" ht="23.25">
      <c r="A224" s="243"/>
      <c r="B224" s="266" t="s">
        <v>281</v>
      </c>
      <c r="C224" s="245" t="s">
        <v>425</v>
      </c>
      <c r="D224" s="249" t="s">
        <v>426</v>
      </c>
      <c r="E224" s="250">
        <v>60000</v>
      </c>
      <c r="F224" s="250">
        <v>0</v>
      </c>
      <c r="G224" s="250">
        <v>0</v>
      </c>
      <c r="H224" s="281"/>
    </row>
    <row r="225" spans="1:8" ht="23.25">
      <c r="A225" s="243"/>
      <c r="B225" s="266" t="s">
        <v>284</v>
      </c>
      <c r="C225" s="245" t="s">
        <v>427</v>
      </c>
      <c r="D225" s="249" t="s">
        <v>428</v>
      </c>
      <c r="E225" s="250">
        <v>50000</v>
      </c>
      <c r="F225" s="250">
        <v>9654</v>
      </c>
      <c r="G225" s="250">
        <v>52049</v>
      </c>
      <c r="H225" s="281"/>
    </row>
    <row r="226" spans="1:8" ht="23.25">
      <c r="A226" s="243"/>
      <c r="B226" s="266" t="s">
        <v>287</v>
      </c>
      <c r="C226" s="245" t="s">
        <v>429</v>
      </c>
      <c r="D226" s="249" t="s">
        <v>430</v>
      </c>
      <c r="E226" s="251">
        <v>0</v>
      </c>
      <c r="F226" s="250">
        <v>0</v>
      </c>
      <c r="G226" s="250">
        <v>0</v>
      </c>
      <c r="H226" s="281"/>
    </row>
    <row r="227" spans="1:8" ht="23.25">
      <c r="A227" s="243"/>
      <c r="B227" s="248"/>
      <c r="C227" s="252" t="s">
        <v>34</v>
      </c>
      <c r="D227" s="249"/>
      <c r="E227" s="254">
        <f>SUM(E224:E226)</f>
        <v>110000</v>
      </c>
      <c r="F227" s="254">
        <f>SUM(F224:F226)</f>
        <v>9654</v>
      </c>
      <c r="G227" s="254">
        <f>SUM(G224:G226)</f>
        <v>52049</v>
      </c>
      <c r="H227" s="313"/>
    </row>
    <row r="228" spans="1:8" ht="26.25">
      <c r="A228" s="243"/>
      <c r="B228" s="244" t="s">
        <v>431</v>
      </c>
      <c r="C228" s="245"/>
      <c r="D228" s="246" t="s">
        <v>432</v>
      </c>
      <c r="E228" s="247">
        <v>590000</v>
      </c>
      <c r="F228" s="247"/>
      <c r="G228" s="247"/>
      <c r="H228" s="294"/>
    </row>
    <row r="229" spans="1:8" ht="23.25">
      <c r="A229" s="243"/>
      <c r="B229" s="266" t="s">
        <v>281</v>
      </c>
      <c r="C229" s="245" t="s">
        <v>433</v>
      </c>
      <c r="D229" s="249" t="s">
        <v>434</v>
      </c>
      <c r="E229" s="251">
        <v>3000</v>
      </c>
      <c r="F229" s="250">
        <v>5000</v>
      </c>
      <c r="G229" s="250">
        <v>5000</v>
      </c>
      <c r="H229" s="281"/>
    </row>
    <row r="230" spans="1:8" ht="23.25">
      <c r="A230" s="243"/>
      <c r="B230" s="266" t="s">
        <v>284</v>
      </c>
      <c r="C230" s="245" t="s">
        <v>435</v>
      </c>
      <c r="D230" s="249" t="s">
        <v>436</v>
      </c>
      <c r="E230" s="242">
        <v>300000</v>
      </c>
      <c r="F230" s="250">
        <v>129200</v>
      </c>
      <c r="G230" s="250">
        <v>185300</v>
      </c>
      <c r="H230" s="281"/>
    </row>
    <row r="231" spans="1:8" ht="23.25">
      <c r="A231" s="243"/>
      <c r="B231" s="266" t="s">
        <v>287</v>
      </c>
      <c r="C231" s="245" t="s">
        <v>437</v>
      </c>
      <c r="D231" s="249" t="s">
        <v>438</v>
      </c>
      <c r="E231" s="251">
        <v>5000</v>
      </c>
      <c r="F231" s="250">
        <v>0</v>
      </c>
      <c r="G231" s="250">
        <v>0</v>
      </c>
      <c r="H231" s="281"/>
    </row>
    <row r="232" spans="1:8" ht="23.25">
      <c r="A232" s="243"/>
      <c r="B232" s="266" t="s">
        <v>290</v>
      </c>
      <c r="C232" s="245" t="s">
        <v>439</v>
      </c>
      <c r="D232" s="249" t="s">
        <v>440</v>
      </c>
      <c r="E232" s="251">
        <v>20000</v>
      </c>
      <c r="F232" s="251">
        <v>922</v>
      </c>
      <c r="G232" s="251">
        <v>11262</v>
      </c>
      <c r="H232" s="312"/>
    </row>
    <row r="233" spans="1:8" ht="23.25">
      <c r="A233" s="243"/>
      <c r="B233" s="266" t="s">
        <v>293</v>
      </c>
      <c r="C233" s="245" t="s">
        <v>441</v>
      </c>
      <c r="D233" s="249" t="s">
        <v>442</v>
      </c>
      <c r="E233" s="251">
        <v>2000</v>
      </c>
      <c r="F233" s="250">
        <v>40</v>
      </c>
      <c r="G233" s="250">
        <v>594</v>
      </c>
      <c r="H233" s="281"/>
    </row>
    <row r="234" spans="1:8" ht="23.25">
      <c r="A234" s="243"/>
      <c r="B234" s="266" t="s">
        <v>296</v>
      </c>
      <c r="C234" s="245" t="s">
        <v>443</v>
      </c>
      <c r="D234" s="249" t="s">
        <v>444</v>
      </c>
      <c r="E234" s="250">
        <v>50000</v>
      </c>
      <c r="F234" s="250">
        <v>11900</v>
      </c>
      <c r="G234" s="250">
        <v>39450</v>
      </c>
      <c r="H234" s="281"/>
    </row>
    <row r="235" spans="1:8" ht="23.25">
      <c r="A235" s="243"/>
      <c r="B235" s="266" t="s">
        <v>314</v>
      </c>
      <c r="C235" s="245" t="s">
        <v>445</v>
      </c>
      <c r="D235" s="249" t="s">
        <v>446</v>
      </c>
      <c r="E235" s="242">
        <v>210000</v>
      </c>
      <c r="F235" s="251">
        <v>556</v>
      </c>
      <c r="G235" s="251">
        <v>127568</v>
      </c>
      <c r="H235" s="312"/>
    </row>
    <row r="236" spans="1:8" ht="23.25">
      <c r="A236" s="243"/>
      <c r="B236" s="248"/>
      <c r="C236" s="252" t="s">
        <v>34</v>
      </c>
      <c r="D236" s="249"/>
      <c r="E236" s="254">
        <f>SUM(E229:E235)</f>
        <v>590000</v>
      </c>
      <c r="F236" s="254">
        <f>SUM(F229:F235)</f>
        <v>147618</v>
      </c>
      <c r="G236" s="254">
        <f>SUM(G229:G235)</f>
        <v>369174</v>
      </c>
      <c r="H236" s="313"/>
    </row>
    <row r="237" spans="1:8" ht="26.25">
      <c r="A237" s="243"/>
      <c r="B237" s="244" t="s">
        <v>447</v>
      </c>
      <c r="C237" s="245"/>
      <c r="D237" s="246" t="s">
        <v>448</v>
      </c>
      <c r="E237" s="274">
        <v>20000</v>
      </c>
      <c r="F237" s="275"/>
      <c r="G237" s="275"/>
      <c r="H237" s="316"/>
    </row>
    <row r="238" spans="1:8" ht="23.25">
      <c r="A238" s="243"/>
      <c r="B238" s="266" t="s">
        <v>281</v>
      </c>
      <c r="C238" s="245" t="s">
        <v>449</v>
      </c>
      <c r="D238" s="249" t="s">
        <v>450</v>
      </c>
      <c r="E238" s="251">
        <v>20000</v>
      </c>
      <c r="F238" s="251">
        <v>0</v>
      </c>
      <c r="G238" s="251">
        <v>0</v>
      </c>
      <c r="H238" s="312"/>
    </row>
    <row r="239" spans="1:8" ht="23.25">
      <c r="A239" s="243"/>
      <c r="B239" s="248"/>
      <c r="C239" s="252" t="s">
        <v>34</v>
      </c>
      <c r="D239" s="249"/>
      <c r="E239" s="254">
        <v>20000</v>
      </c>
      <c r="F239" s="254">
        <f>J238+K238</f>
        <v>0</v>
      </c>
      <c r="G239" s="254">
        <f>K238+L238</f>
        <v>0</v>
      </c>
      <c r="H239" s="313"/>
    </row>
    <row r="240" spans="1:8" ht="26.25">
      <c r="A240" s="277" t="s">
        <v>451</v>
      </c>
      <c r="B240" s="248"/>
      <c r="C240" s="245"/>
      <c r="D240" s="249"/>
      <c r="E240" s="242"/>
      <c r="F240" s="242"/>
      <c r="G240" s="242"/>
      <c r="H240" s="280"/>
    </row>
    <row r="241" spans="1:8" ht="26.25">
      <c r="A241" s="243"/>
      <c r="B241" s="244" t="s">
        <v>452</v>
      </c>
      <c r="C241" s="245"/>
      <c r="D241" s="246" t="s">
        <v>453</v>
      </c>
      <c r="E241" s="247">
        <v>17342000</v>
      </c>
      <c r="F241" s="275"/>
      <c r="G241" s="275"/>
      <c r="H241" s="316"/>
    </row>
    <row r="242" spans="1:8" ht="23.25">
      <c r="A242" s="243"/>
      <c r="B242" s="266" t="s">
        <v>281</v>
      </c>
      <c r="C242" s="245" t="s">
        <v>454</v>
      </c>
      <c r="D242" s="249" t="s">
        <v>455</v>
      </c>
      <c r="E242" s="242">
        <v>0</v>
      </c>
      <c r="F242" s="251">
        <v>0</v>
      </c>
      <c r="G242" s="251">
        <v>0</v>
      </c>
      <c r="H242" s="312"/>
    </row>
    <row r="243" spans="1:8" ht="23.25">
      <c r="A243" s="243"/>
      <c r="B243" s="266" t="s">
        <v>284</v>
      </c>
      <c r="C243" s="245" t="s">
        <v>456</v>
      </c>
      <c r="D243" s="249" t="s">
        <v>457</v>
      </c>
      <c r="E243" s="242">
        <v>13000000</v>
      </c>
      <c r="F243" s="251">
        <v>5337533.26</v>
      </c>
      <c r="G243" s="251">
        <v>18660723.93</v>
      </c>
      <c r="H243" s="312"/>
    </row>
    <row r="244" spans="1:8" ht="23.25">
      <c r="A244" s="243"/>
      <c r="B244" s="266" t="s">
        <v>287</v>
      </c>
      <c r="C244" s="245" t="s">
        <v>459</v>
      </c>
      <c r="D244" s="249"/>
      <c r="E244" s="242"/>
      <c r="F244" s="250"/>
      <c r="G244" s="250"/>
      <c r="H244" s="281"/>
    </row>
    <row r="245" spans="1:8" ht="23.25">
      <c r="A245" s="243"/>
      <c r="B245" s="266"/>
      <c r="C245" s="245" t="s">
        <v>460</v>
      </c>
      <c r="D245" s="249" t="s">
        <v>461</v>
      </c>
      <c r="E245" s="250">
        <v>0</v>
      </c>
      <c r="F245" s="250">
        <v>0</v>
      </c>
      <c r="G245" s="250">
        <v>0</v>
      </c>
      <c r="H245" s="281"/>
    </row>
    <row r="246" spans="1:8" ht="23.25">
      <c r="A246" s="243"/>
      <c r="B246" s="266" t="s">
        <v>290</v>
      </c>
      <c r="C246" s="245" t="s">
        <v>462</v>
      </c>
      <c r="D246" s="249" t="s">
        <v>463</v>
      </c>
      <c r="E246" s="242">
        <v>20000</v>
      </c>
      <c r="F246" s="250">
        <v>0</v>
      </c>
      <c r="G246" s="250">
        <v>0</v>
      </c>
      <c r="H246" s="281"/>
    </row>
    <row r="247" spans="1:8" ht="23.25">
      <c r="A247" s="243"/>
      <c r="B247" s="266" t="s">
        <v>293</v>
      </c>
      <c r="C247" s="245" t="s">
        <v>464</v>
      </c>
      <c r="D247" s="249" t="s">
        <v>465</v>
      </c>
      <c r="E247" s="242">
        <v>1200000</v>
      </c>
      <c r="F247" s="250">
        <v>113078.91</v>
      </c>
      <c r="G247" s="250">
        <v>1342677.04</v>
      </c>
      <c r="H247" s="281"/>
    </row>
    <row r="248" spans="1:8" ht="23.25">
      <c r="A248" s="243"/>
      <c r="B248" s="266" t="s">
        <v>296</v>
      </c>
      <c r="C248" s="245" t="s">
        <v>466</v>
      </c>
      <c r="D248" s="249" t="s">
        <v>467</v>
      </c>
      <c r="E248" s="242">
        <v>2000000</v>
      </c>
      <c r="F248" s="250">
        <v>320213.17</v>
      </c>
      <c r="G248" s="250">
        <v>3636456.36</v>
      </c>
      <c r="H248" s="281"/>
    </row>
    <row r="249" spans="1:8" ht="23.25">
      <c r="A249" s="243"/>
      <c r="B249" s="266" t="s">
        <v>314</v>
      </c>
      <c r="C249" s="245" t="s">
        <v>468</v>
      </c>
      <c r="D249" s="249" t="s">
        <v>469</v>
      </c>
      <c r="E249" s="251">
        <v>2000</v>
      </c>
      <c r="F249" s="250">
        <v>0</v>
      </c>
      <c r="G249" s="250">
        <v>0</v>
      </c>
      <c r="H249" s="281"/>
    </row>
    <row r="250" spans="1:8" ht="23.25">
      <c r="A250" s="243"/>
      <c r="B250" s="266" t="s">
        <v>317</v>
      </c>
      <c r="C250" s="245" t="s">
        <v>470</v>
      </c>
      <c r="D250" s="249" t="s">
        <v>471</v>
      </c>
      <c r="E250" s="250">
        <v>0</v>
      </c>
      <c r="F250" s="250">
        <v>0</v>
      </c>
      <c r="G250" s="250">
        <v>0</v>
      </c>
      <c r="H250" s="281"/>
    </row>
    <row r="251" spans="1:8" ht="23.25">
      <c r="A251" s="243"/>
      <c r="B251" s="266" t="s">
        <v>322</v>
      </c>
      <c r="C251" s="245" t="s">
        <v>472</v>
      </c>
      <c r="D251" s="249" t="s">
        <v>473</v>
      </c>
      <c r="E251" s="251">
        <v>0</v>
      </c>
      <c r="F251" s="250">
        <v>0</v>
      </c>
      <c r="G251" s="250">
        <v>0</v>
      </c>
      <c r="H251" s="281"/>
    </row>
    <row r="252" spans="1:8" ht="23.25">
      <c r="A252" s="243"/>
      <c r="B252" s="266" t="s">
        <v>325</v>
      </c>
      <c r="C252" s="245" t="s">
        <v>474</v>
      </c>
      <c r="D252" s="249" t="s">
        <v>475</v>
      </c>
      <c r="E252" s="251">
        <v>50000</v>
      </c>
      <c r="F252" s="250">
        <v>0</v>
      </c>
      <c r="G252" s="250">
        <v>51959.47</v>
      </c>
      <c r="H252" s="281"/>
    </row>
    <row r="253" spans="1:8" ht="23.25">
      <c r="A253" s="243"/>
      <c r="B253" s="266" t="s">
        <v>329</v>
      </c>
      <c r="C253" s="245" t="s">
        <v>476</v>
      </c>
      <c r="D253" s="249" t="s">
        <v>477</v>
      </c>
      <c r="E253" s="251">
        <v>70000</v>
      </c>
      <c r="F253" s="250">
        <v>0</v>
      </c>
      <c r="G253" s="250">
        <v>67412.91</v>
      </c>
      <c r="H253" s="281"/>
    </row>
    <row r="254" spans="1:8" ht="23.25">
      <c r="A254" s="243"/>
      <c r="B254" s="266" t="s">
        <v>332</v>
      </c>
      <c r="C254" s="245" t="s">
        <v>478</v>
      </c>
      <c r="D254" s="249" t="s">
        <v>479</v>
      </c>
      <c r="E254" s="250">
        <v>0</v>
      </c>
      <c r="F254" s="250">
        <v>0</v>
      </c>
      <c r="G254" s="250">
        <v>0</v>
      </c>
      <c r="H254" s="281"/>
    </row>
    <row r="255" spans="1:8" ht="23.25">
      <c r="A255" s="243"/>
      <c r="B255" s="266" t="s">
        <v>335</v>
      </c>
      <c r="C255" s="245" t="s">
        <v>480</v>
      </c>
      <c r="D255" s="249" t="s">
        <v>481</v>
      </c>
      <c r="E255" s="251">
        <v>1000000</v>
      </c>
      <c r="F255" s="250">
        <v>412551</v>
      </c>
      <c r="G255" s="250">
        <v>2011537</v>
      </c>
      <c r="H255" s="281"/>
    </row>
    <row r="256" spans="1:8" ht="23.25">
      <c r="A256" s="243"/>
      <c r="B256" s="266" t="s">
        <v>338</v>
      </c>
      <c r="C256" s="245" t="s">
        <v>482</v>
      </c>
      <c r="D256" s="249" t="s">
        <v>483</v>
      </c>
      <c r="E256" s="250">
        <v>0</v>
      </c>
      <c r="F256" s="250">
        <v>0</v>
      </c>
      <c r="G256" s="250">
        <v>0</v>
      </c>
      <c r="H256" s="281"/>
    </row>
    <row r="257" spans="1:8" ht="23.25">
      <c r="A257" s="243"/>
      <c r="B257" s="266" t="s">
        <v>342</v>
      </c>
      <c r="C257" s="245" t="s">
        <v>484</v>
      </c>
      <c r="D257" s="249" t="s">
        <v>485</v>
      </c>
      <c r="E257" s="250">
        <v>0</v>
      </c>
      <c r="F257" s="250">
        <v>0</v>
      </c>
      <c r="G257" s="250">
        <v>0</v>
      </c>
      <c r="H257" s="281"/>
    </row>
    <row r="258" spans="1:8" ht="23.25">
      <c r="A258" s="243"/>
      <c r="B258" s="266" t="s">
        <v>345</v>
      </c>
      <c r="C258" s="245" t="s">
        <v>486</v>
      </c>
      <c r="D258" s="249" t="s">
        <v>487</v>
      </c>
      <c r="E258" s="250">
        <v>0</v>
      </c>
      <c r="F258" s="250">
        <v>0</v>
      </c>
      <c r="G258" s="250">
        <v>0</v>
      </c>
      <c r="H258" s="281"/>
    </row>
    <row r="259" spans="1:8" ht="23.25">
      <c r="A259" s="243"/>
      <c r="B259" s="266" t="s">
        <v>350</v>
      </c>
      <c r="C259" s="245" t="s">
        <v>488</v>
      </c>
      <c r="D259" s="249" t="s">
        <v>489</v>
      </c>
      <c r="E259" s="250">
        <v>0</v>
      </c>
      <c r="F259" s="250">
        <v>0</v>
      </c>
      <c r="G259" s="250">
        <v>0</v>
      </c>
      <c r="H259" s="281"/>
    </row>
    <row r="260" spans="1:8" ht="23.25">
      <c r="A260" s="256"/>
      <c r="B260" s="257"/>
      <c r="C260" s="268" t="s">
        <v>34</v>
      </c>
      <c r="D260" s="259"/>
      <c r="E260" s="254">
        <f>SUM(E242:E259)</f>
        <v>17342000</v>
      </c>
      <c r="F260" s="254">
        <f>SUM(F242:F259)</f>
        <v>6183376.34</v>
      </c>
      <c r="G260" s="254">
        <f>SUM(G242:G259)</f>
        <v>25770766.709999997</v>
      </c>
      <c r="H260" s="313"/>
    </row>
    <row r="261" spans="1:8" ht="23.25">
      <c r="A261" s="278"/>
      <c r="B261" s="248"/>
      <c r="C261" s="279"/>
      <c r="D261" s="266"/>
      <c r="E261" s="280"/>
      <c r="F261" s="281"/>
      <c r="G261" s="281"/>
      <c r="H261" s="281"/>
    </row>
    <row r="262" spans="1:8" ht="23.25">
      <c r="A262" s="232"/>
      <c r="B262" s="233"/>
      <c r="C262" s="282"/>
      <c r="D262" s="235" t="s">
        <v>83</v>
      </c>
      <c r="E262" s="262" t="s">
        <v>33</v>
      </c>
      <c r="F262" s="262" t="s">
        <v>349</v>
      </c>
      <c r="G262" s="262" t="s">
        <v>277</v>
      </c>
      <c r="H262" s="314"/>
    </row>
    <row r="263" spans="1:8" ht="26.25">
      <c r="A263" s="277" t="s">
        <v>490</v>
      </c>
      <c r="B263" s="248"/>
      <c r="C263" s="278"/>
      <c r="D263" s="249"/>
      <c r="E263" s="242"/>
      <c r="F263" s="242"/>
      <c r="G263" s="242"/>
      <c r="H263" s="280"/>
    </row>
    <row r="264" spans="1:8" ht="26.25">
      <c r="A264" s="243"/>
      <c r="B264" s="244" t="s">
        <v>491</v>
      </c>
      <c r="C264" s="278"/>
      <c r="D264" s="246" t="s">
        <v>492</v>
      </c>
      <c r="E264" s="274">
        <v>30475620</v>
      </c>
      <c r="F264" s="275"/>
      <c r="G264" s="242"/>
      <c r="H264" s="280"/>
    </row>
    <row r="265" spans="1:8" ht="23.25">
      <c r="A265" s="243"/>
      <c r="B265" s="266" t="s">
        <v>281</v>
      </c>
      <c r="C265" s="278" t="s">
        <v>493</v>
      </c>
      <c r="D265" s="249"/>
      <c r="E265" s="251"/>
      <c r="F265" s="250"/>
      <c r="G265" s="242"/>
      <c r="H265" s="280"/>
    </row>
    <row r="266" spans="1:8" ht="23.25">
      <c r="A266" s="243"/>
      <c r="B266" s="266"/>
      <c r="C266" s="278" t="s">
        <v>494</v>
      </c>
      <c r="D266" s="249" t="s">
        <v>495</v>
      </c>
      <c r="E266" s="251">
        <v>30475620</v>
      </c>
      <c r="F266" s="250">
        <v>0</v>
      </c>
      <c r="G266" s="250">
        <v>18129515</v>
      </c>
      <c r="H266" s="281"/>
    </row>
    <row r="267" spans="1:8" ht="23.25">
      <c r="A267" s="243"/>
      <c r="B267" s="266" t="s">
        <v>284</v>
      </c>
      <c r="C267" s="278" t="s">
        <v>496</v>
      </c>
      <c r="D267" s="249" t="s">
        <v>497</v>
      </c>
      <c r="E267" s="250">
        <v>0</v>
      </c>
      <c r="F267" s="250">
        <v>0</v>
      </c>
      <c r="G267" s="250">
        <v>0</v>
      </c>
      <c r="H267" s="281"/>
    </row>
    <row r="268" spans="1:8" ht="23.25">
      <c r="A268" s="243"/>
      <c r="B268" s="266" t="s">
        <v>287</v>
      </c>
      <c r="C268" s="278" t="s">
        <v>498</v>
      </c>
      <c r="D268" s="249" t="s">
        <v>499</v>
      </c>
      <c r="E268" s="250">
        <v>0</v>
      </c>
      <c r="F268" s="250">
        <v>0</v>
      </c>
      <c r="G268" s="250">
        <v>0</v>
      </c>
      <c r="H268" s="281"/>
    </row>
    <row r="269" spans="1:8" ht="23.25">
      <c r="A269" s="243"/>
      <c r="B269" s="248"/>
      <c r="C269" s="283" t="s">
        <v>34</v>
      </c>
      <c r="D269" s="249"/>
      <c r="E269" s="254">
        <f>SUM(E266:E268)</f>
        <v>30475620</v>
      </c>
      <c r="F269" s="254">
        <f>SUM(F265:F268)</f>
        <v>0</v>
      </c>
      <c r="G269" s="254">
        <f>SUM(G266:G268)</f>
        <v>18129515</v>
      </c>
      <c r="H269" s="313"/>
    </row>
    <row r="270" spans="1:8" ht="26.25">
      <c r="A270" s="277" t="s">
        <v>500</v>
      </c>
      <c r="B270" s="248"/>
      <c r="C270" s="278"/>
      <c r="D270" s="249"/>
      <c r="E270" s="242"/>
      <c r="F270" s="242"/>
      <c r="G270" s="242"/>
      <c r="H270" s="280"/>
    </row>
    <row r="271" spans="1:8" ht="26.25">
      <c r="A271" s="243"/>
      <c r="B271" s="244" t="s">
        <v>501</v>
      </c>
      <c r="C271" s="278"/>
      <c r="D271" s="246" t="s">
        <v>502</v>
      </c>
      <c r="E271" s="250"/>
      <c r="F271" s="250"/>
      <c r="G271" s="250"/>
      <c r="H271" s="281"/>
    </row>
    <row r="272" spans="1:8" ht="23.25">
      <c r="A272" s="243"/>
      <c r="B272" s="266" t="s">
        <v>281</v>
      </c>
      <c r="C272" s="248" t="s">
        <v>505</v>
      </c>
      <c r="D272" s="249" t="s">
        <v>504</v>
      </c>
      <c r="E272" s="250">
        <v>0</v>
      </c>
      <c r="F272" s="250">
        <v>0</v>
      </c>
      <c r="G272" s="250">
        <v>10000</v>
      </c>
      <c r="H272" s="281"/>
    </row>
    <row r="273" spans="1:8" ht="23.25">
      <c r="A273" s="243"/>
      <c r="B273" s="266" t="s">
        <v>284</v>
      </c>
      <c r="C273" s="248" t="s">
        <v>508</v>
      </c>
      <c r="D273" s="249" t="s">
        <v>507</v>
      </c>
      <c r="E273" s="250">
        <v>0</v>
      </c>
      <c r="F273" s="250">
        <v>0</v>
      </c>
      <c r="G273" s="250">
        <v>135390</v>
      </c>
      <c r="H273" s="281"/>
    </row>
    <row r="274" spans="1:8" ht="23.25">
      <c r="A274" s="243"/>
      <c r="B274" s="266" t="s">
        <v>287</v>
      </c>
      <c r="C274" s="248" t="s">
        <v>530</v>
      </c>
      <c r="D274" s="249" t="s">
        <v>510</v>
      </c>
      <c r="E274" s="250">
        <v>0</v>
      </c>
      <c r="F274" s="250">
        <v>0</v>
      </c>
      <c r="G274" s="250">
        <v>30000</v>
      </c>
      <c r="H274" s="281"/>
    </row>
    <row r="275" spans="1:8" ht="23.25">
      <c r="A275" s="243"/>
      <c r="B275" s="266" t="s">
        <v>290</v>
      </c>
      <c r="C275" s="248" t="s">
        <v>531</v>
      </c>
      <c r="D275" s="249"/>
      <c r="E275" s="250">
        <v>0</v>
      </c>
      <c r="F275" s="250">
        <v>0</v>
      </c>
      <c r="G275" s="250">
        <v>15000</v>
      </c>
      <c r="H275" s="281"/>
    </row>
    <row r="276" spans="1:8" ht="23.25">
      <c r="A276" s="243"/>
      <c r="B276" s="266" t="s">
        <v>293</v>
      </c>
      <c r="C276" s="248" t="s">
        <v>515</v>
      </c>
      <c r="D276" s="249"/>
      <c r="E276" s="250">
        <v>0</v>
      </c>
      <c r="F276" s="250">
        <v>705000</v>
      </c>
      <c r="G276" s="251">
        <v>5006600</v>
      </c>
      <c r="H276" s="312"/>
    </row>
    <row r="277" spans="1:8" ht="23.25">
      <c r="A277" s="243"/>
      <c r="B277" s="266" t="s">
        <v>296</v>
      </c>
      <c r="C277" s="248" t="s">
        <v>517</v>
      </c>
      <c r="D277" s="249"/>
      <c r="E277" s="250">
        <v>0</v>
      </c>
      <c r="F277" s="250">
        <v>17000</v>
      </c>
      <c r="G277" s="251">
        <v>102000</v>
      </c>
      <c r="H277" s="312"/>
    </row>
    <row r="278" spans="1:8" ht="23.25">
      <c r="A278" s="243"/>
      <c r="B278" s="266" t="s">
        <v>314</v>
      </c>
      <c r="C278" s="248" t="s">
        <v>519</v>
      </c>
      <c r="D278" s="249"/>
      <c r="E278" s="250">
        <v>0</v>
      </c>
      <c r="F278" s="250">
        <v>311354</v>
      </c>
      <c r="G278" s="251">
        <v>722659</v>
      </c>
      <c r="H278" s="312"/>
    </row>
    <row r="279" spans="1:8" ht="23.25">
      <c r="A279" s="243"/>
      <c r="B279" s="266" t="s">
        <v>317</v>
      </c>
      <c r="C279" s="248" t="s">
        <v>520</v>
      </c>
      <c r="D279" s="249"/>
      <c r="E279" s="250">
        <v>0</v>
      </c>
      <c r="F279" s="250">
        <v>0</v>
      </c>
      <c r="G279" s="251">
        <v>1482000</v>
      </c>
      <c r="H279" s="312"/>
    </row>
    <row r="280" spans="1:8" ht="23.25">
      <c r="A280" s="243"/>
      <c r="B280" s="266" t="s">
        <v>322</v>
      </c>
      <c r="C280" s="248" t="s">
        <v>521</v>
      </c>
      <c r="D280" s="249"/>
      <c r="E280" s="250"/>
      <c r="F280" s="250">
        <v>0</v>
      </c>
      <c r="G280" s="251">
        <v>125907</v>
      </c>
      <c r="H280" s="312"/>
    </row>
    <row r="281" spans="1:8" ht="23.25">
      <c r="A281" s="243"/>
      <c r="B281" s="266" t="s">
        <v>325</v>
      </c>
      <c r="C281" s="248" t="s">
        <v>523</v>
      </c>
      <c r="D281" s="249"/>
      <c r="E281" s="250"/>
      <c r="F281" s="250">
        <v>0</v>
      </c>
      <c r="G281" s="251">
        <v>2000000</v>
      </c>
      <c r="H281" s="312"/>
    </row>
    <row r="282" spans="1:8" ht="23.25">
      <c r="A282" s="243"/>
      <c r="B282" s="266"/>
      <c r="C282" s="248"/>
      <c r="D282" s="249"/>
      <c r="E282" s="250"/>
      <c r="F282" s="250"/>
      <c r="G282" s="251"/>
      <c r="H282" s="312"/>
    </row>
    <row r="283" spans="1:8" ht="23.25">
      <c r="A283" s="243"/>
      <c r="B283" s="266"/>
      <c r="C283" s="248"/>
      <c r="D283" s="249"/>
      <c r="E283" s="250"/>
      <c r="F283" s="250"/>
      <c r="G283" s="251"/>
      <c r="H283" s="312"/>
    </row>
    <row r="284" spans="1:8" ht="23.25">
      <c r="A284" s="243"/>
      <c r="B284" s="266"/>
      <c r="C284" s="248"/>
      <c r="D284" s="249"/>
      <c r="E284" s="250"/>
      <c r="F284" s="250"/>
      <c r="G284" s="251"/>
      <c r="H284" s="312"/>
    </row>
    <row r="285" spans="1:8" ht="23.25">
      <c r="A285" s="256"/>
      <c r="B285" s="257"/>
      <c r="C285" s="284" t="s">
        <v>34</v>
      </c>
      <c r="D285" s="259"/>
      <c r="E285" s="276">
        <f>SUM(E272:E284)</f>
        <v>0</v>
      </c>
      <c r="F285" s="276">
        <f>SUM(F272:F284)</f>
        <v>1033354</v>
      </c>
      <c r="G285" s="276">
        <f>SUM(G272:G284)</f>
        <v>9629556</v>
      </c>
      <c r="H285" s="317"/>
    </row>
    <row r="286" spans="1:8" ht="24" thickBot="1">
      <c r="A286" s="278"/>
      <c r="B286" s="248"/>
      <c r="C286" s="285" t="s">
        <v>528</v>
      </c>
      <c r="D286" s="286"/>
      <c r="E286" s="287">
        <f>SUM(E158+E203+E220+E227+E236+E237+E260+E269+E285)</f>
        <v>52372620</v>
      </c>
      <c r="F286" s="287">
        <f>SUM(F158+F203+F220+F227+F236+F260+F269+F285)</f>
        <v>7611555.28</v>
      </c>
      <c r="G286" s="287">
        <f>SUM(G158+G203+G220+G227+G236+G260+G269+G285)</f>
        <v>57754534.04</v>
      </c>
      <c r="H286" s="310"/>
    </row>
    <row r="287" ht="24" thickTop="1"/>
  </sheetData>
  <sheetProtection/>
  <mergeCells count="15">
    <mergeCell ref="A146:G146"/>
    <mergeCell ref="A147:G147"/>
    <mergeCell ref="A148:G148"/>
    <mergeCell ref="A4:G4"/>
    <mergeCell ref="I4:O4"/>
    <mergeCell ref="A5:G5"/>
    <mergeCell ref="I5:O5"/>
    <mergeCell ref="A144:G144"/>
    <mergeCell ref="A145:G145"/>
    <mergeCell ref="A1:G1"/>
    <mergeCell ref="I1:O1"/>
    <mergeCell ref="A2:G2"/>
    <mergeCell ref="I2:O2"/>
    <mergeCell ref="A3:G3"/>
    <mergeCell ref="I3:O3"/>
  </mergeCells>
  <printOptions horizontalCentered="1"/>
  <pageMargins left="0.42" right="0.27" top="0.2362204724409449" bottom="0.1968503937007874" header="0.1968503937007874" footer="0.15748031496062992"/>
  <pageSetup horizontalDpi="600" verticalDpi="600" orientation="portrait" paperSize="9" scale="88" r:id="rId1"/>
  <rowBreaks count="7" manualBreakCount="7">
    <brk id="38" max="14" man="1"/>
    <brk id="78" max="14" man="1"/>
    <brk id="118" max="14" man="1"/>
    <brk id="143" max="14" man="1"/>
    <brk id="181" max="14" man="1"/>
    <brk id="220" max="14" man="1"/>
    <brk id="260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BV49722"/>
  <sheetViews>
    <sheetView tabSelected="1" zoomScalePageLayoutView="0" workbookViewId="0" topLeftCell="BP1">
      <selection activeCell="BS9" sqref="BS9"/>
    </sheetView>
  </sheetViews>
  <sheetFormatPr defaultColWidth="9.140625" defaultRowHeight="15"/>
  <cols>
    <col min="1" max="1" width="16.57421875" style="747" hidden="1" customWidth="1"/>
    <col min="2" max="2" width="15.421875" style="747" hidden="1" customWidth="1"/>
    <col min="3" max="3" width="41.140625" style="649" hidden="1" customWidth="1"/>
    <col min="4" max="4" width="12.421875" style="649" hidden="1" customWidth="1"/>
    <col min="5" max="5" width="17.8515625" style="747" hidden="1" customWidth="1"/>
    <col min="6" max="6" width="18.421875" style="666" hidden="1" customWidth="1"/>
    <col min="7" max="7" width="16.8515625" style="649" hidden="1" customWidth="1"/>
    <col min="8" max="8" width="17.7109375" style="649" hidden="1" customWidth="1"/>
    <col min="9" max="9" width="35.421875" style="649" hidden="1" customWidth="1"/>
    <col min="10" max="10" width="9.8515625" style="649" hidden="1" customWidth="1"/>
    <col min="11" max="11" width="17.421875" style="649" hidden="1" customWidth="1"/>
    <col min="12" max="12" width="15.8515625" style="649" hidden="1" customWidth="1"/>
    <col min="13" max="13" width="17.57421875" style="649" hidden="1" customWidth="1"/>
    <col min="14" max="14" width="18.140625" style="649" hidden="1" customWidth="1"/>
    <col min="15" max="15" width="40.140625" style="649" hidden="1" customWidth="1"/>
    <col min="16" max="16" width="9.00390625" style="649" hidden="1" customWidth="1"/>
    <col min="17" max="17" width="17.140625" style="649" hidden="1" customWidth="1"/>
    <col min="18" max="18" width="9.00390625" style="649" hidden="1" customWidth="1"/>
    <col min="19" max="19" width="17.57421875" style="649" hidden="1" customWidth="1"/>
    <col min="20" max="20" width="18.140625" style="649" hidden="1" customWidth="1"/>
    <col min="21" max="21" width="40.140625" style="649" hidden="1" customWidth="1"/>
    <col min="22" max="22" width="9.00390625" style="649" hidden="1" customWidth="1"/>
    <col min="23" max="23" width="17.140625" style="649" hidden="1" customWidth="1"/>
    <col min="24" max="24" width="9.00390625" style="649" hidden="1" customWidth="1"/>
    <col min="25" max="25" width="17.57421875" style="649" hidden="1" customWidth="1"/>
    <col min="26" max="26" width="18.140625" style="649" hidden="1" customWidth="1"/>
    <col min="27" max="27" width="40.140625" style="649" hidden="1" customWidth="1"/>
    <col min="28" max="28" width="9.00390625" style="649" hidden="1" customWidth="1"/>
    <col min="29" max="29" width="17.140625" style="649" hidden="1" customWidth="1"/>
    <col min="30" max="30" width="9.00390625" style="649" hidden="1" customWidth="1"/>
    <col min="31" max="31" width="17.57421875" style="649" hidden="1" customWidth="1"/>
    <col min="32" max="32" width="18.140625" style="649" hidden="1" customWidth="1"/>
    <col min="33" max="33" width="40.140625" style="649" hidden="1" customWidth="1"/>
    <col min="34" max="34" width="9.00390625" style="649" hidden="1" customWidth="1"/>
    <col min="35" max="35" width="17.140625" style="649" hidden="1" customWidth="1"/>
    <col min="36" max="36" width="9.00390625" style="649" hidden="1" customWidth="1"/>
    <col min="37" max="37" width="17.57421875" style="649" hidden="1" customWidth="1"/>
    <col min="38" max="38" width="18.140625" style="649" hidden="1" customWidth="1"/>
    <col min="39" max="39" width="40.140625" style="649" hidden="1" customWidth="1"/>
    <col min="40" max="40" width="9.00390625" style="649" hidden="1" customWidth="1"/>
    <col min="41" max="41" width="17.140625" style="649" hidden="1" customWidth="1"/>
    <col min="42" max="42" width="9.00390625" style="649" hidden="1" customWidth="1"/>
    <col min="43" max="43" width="17.57421875" style="649" hidden="1" customWidth="1"/>
    <col min="44" max="44" width="18.140625" style="649" hidden="1" customWidth="1"/>
    <col min="45" max="45" width="40.140625" style="649" hidden="1" customWidth="1"/>
    <col min="46" max="46" width="9.00390625" style="649" hidden="1" customWidth="1"/>
    <col min="47" max="47" width="17.140625" style="649" hidden="1" customWidth="1"/>
    <col min="48" max="48" width="9.00390625" style="649" hidden="1" customWidth="1"/>
    <col min="49" max="49" width="17.57421875" style="649" hidden="1" customWidth="1"/>
    <col min="50" max="50" width="18.140625" style="649" hidden="1" customWidth="1"/>
    <col min="51" max="51" width="40.140625" style="649" hidden="1" customWidth="1"/>
    <col min="52" max="52" width="9.00390625" style="649" hidden="1" customWidth="1"/>
    <col min="53" max="53" width="17.140625" style="649" hidden="1" customWidth="1"/>
    <col min="54" max="54" width="9.00390625" style="649" hidden="1" customWidth="1"/>
    <col min="55" max="55" width="17.57421875" style="649" hidden="1" customWidth="1"/>
    <col min="56" max="56" width="18.140625" style="649" hidden="1" customWidth="1"/>
    <col min="57" max="57" width="40.140625" style="649" hidden="1" customWidth="1"/>
    <col min="58" max="58" width="9.00390625" style="649" hidden="1" customWidth="1"/>
    <col min="59" max="59" width="17.140625" style="649" hidden="1" customWidth="1"/>
    <col min="60" max="60" width="0" style="649" hidden="1" customWidth="1"/>
    <col min="61" max="61" width="17.57421875" style="649" hidden="1" customWidth="1"/>
    <col min="62" max="62" width="18.140625" style="649" hidden="1" customWidth="1"/>
    <col min="63" max="63" width="40.140625" style="649" hidden="1" customWidth="1"/>
    <col min="64" max="64" width="0" style="649" hidden="1" customWidth="1"/>
    <col min="65" max="65" width="17.140625" style="649" hidden="1" customWidth="1"/>
    <col min="66" max="66" width="9.00390625" style="649" customWidth="1"/>
    <col min="67" max="67" width="17.57421875" style="649" customWidth="1"/>
    <col min="68" max="68" width="18.140625" style="649" customWidth="1"/>
    <col min="69" max="69" width="40.140625" style="649" customWidth="1"/>
    <col min="70" max="70" width="9.00390625" style="649" customWidth="1"/>
    <col min="71" max="71" width="18.7109375" style="649" customWidth="1"/>
    <col min="72" max="72" width="15.8515625" style="651" hidden="1" customWidth="1"/>
    <col min="73" max="74" width="15.8515625" style="649" hidden="1" customWidth="1"/>
    <col min="75" max="75" width="0" style="649" hidden="1" customWidth="1"/>
    <col min="76" max="16384" width="9.00390625" style="649" customWidth="1"/>
  </cols>
  <sheetData>
    <row r="1" spans="1:71" ht="27" customHeight="1">
      <c r="A1" s="646" t="s">
        <v>30</v>
      </c>
      <c r="B1" s="646"/>
      <c r="C1" s="646"/>
      <c r="D1" s="646" t="s">
        <v>961</v>
      </c>
      <c r="E1" s="647" t="s">
        <v>962</v>
      </c>
      <c r="F1" s="648"/>
      <c r="G1" s="646" t="s">
        <v>30</v>
      </c>
      <c r="H1" s="646"/>
      <c r="I1" s="646"/>
      <c r="J1" s="646" t="s">
        <v>961</v>
      </c>
      <c r="K1" s="647" t="s">
        <v>963</v>
      </c>
      <c r="M1" s="646" t="s">
        <v>30</v>
      </c>
      <c r="N1" s="646"/>
      <c r="O1" s="646"/>
      <c r="P1" s="646" t="s">
        <v>961</v>
      </c>
      <c r="Q1" s="647" t="s">
        <v>964</v>
      </c>
      <c r="S1" s="646" t="s">
        <v>30</v>
      </c>
      <c r="T1" s="646"/>
      <c r="U1" s="646"/>
      <c r="V1" s="646" t="s">
        <v>961</v>
      </c>
      <c r="W1" s="647" t="s">
        <v>965</v>
      </c>
      <c r="Y1" s="646" t="s">
        <v>30</v>
      </c>
      <c r="Z1" s="646"/>
      <c r="AA1" s="646"/>
      <c r="AB1" s="646" t="s">
        <v>961</v>
      </c>
      <c r="AC1" s="647" t="s">
        <v>966</v>
      </c>
      <c r="AE1" s="646" t="s">
        <v>30</v>
      </c>
      <c r="AF1" s="646"/>
      <c r="AG1" s="646"/>
      <c r="AH1" s="646" t="s">
        <v>961</v>
      </c>
      <c r="AI1" s="647" t="s">
        <v>967</v>
      </c>
      <c r="AK1" s="646" t="s">
        <v>30</v>
      </c>
      <c r="AL1" s="646"/>
      <c r="AM1" s="646"/>
      <c r="AN1" s="646" t="s">
        <v>961</v>
      </c>
      <c r="AO1" s="647" t="s">
        <v>968</v>
      </c>
      <c r="AQ1" s="646" t="s">
        <v>30</v>
      </c>
      <c r="AR1" s="646"/>
      <c r="AS1" s="646"/>
      <c r="AT1" s="646" t="s">
        <v>961</v>
      </c>
      <c r="AU1" s="650" t="s">
        <v>969</v>
      </c>
      <c r="AW1" s="646" t="s">
        <v>30</v>
      </c>
      <c r="AX1" s="646"/>
      <c r="AY1" s="646"/>
      <c r="AZ1" s="646" t="s">
        <v>961</v>
      </c>
      <c r="BA1" s="650" t="s">
        <v>970</v>
      </c>
      <c r="BC1" s="646" t="s">
        <v>30</v>
      </c>
      <c r="BD1" s="646"/>
      <c r="BE1" s="646"/>
      <c r="BF1" s="646" t="s">
        <v>961</v>
      </c>
      <c r="BG1" s="650" t="s">
        <v>971</v>
      </c>
      <c r="BI1" s="646" t="s">
        <v>30</v>
      </c>
      <c r="BJ1" s="646"/>
      <c r="BK1" s="646"/>
      <c r="BL1" s="646" t="s">
        <v>961</v>
      </c>
      <c r="BM1" s="650" t="s">
        <v>972</v>
      </c>
      <c r="BO1" s="646" t="s">
        <v>30</v>
      </c>
      <c r="BP1" s="646"/>
      <c r="BQ1" s="646"/>
      <c r="BR1" s="646" t="s">
        <v>961</v>
      </c>
      <c r="BS1" s="650" t="s">
        <v>973</v>
      </c>
    </row>
    <row r="2" spans="1:71" ht="27" customHeight="1">
      <c r="A2" s="900" t="s">
        <v>974</v>
      </c>
      <c r="B2" s="900"/>
      <c r="C2" s="900"/>
      <c r="D2" s="900"/>
      <c r="E2" s="900"/>
      <c r="F2" s="652"/>
      <c r="G2" s="900" t="s">
        <v>974</v>
      </c>
      <c r="H2" s="900"/>
      <c r="I2" s="900"/>
      <c r="J2" s="900"/>
      <c r="K2" s="900"/>
      <c r="M2" s="900" t="s">
        <v>974</v>
      </c>
      <c r="N2" s="900"/>
      <c r="O2" s="900"/>
      <c r="P2" s="900"/>
      <c r="Q2" s="900"/>
      <c r="S2" s="900" t="s">
        <v>974</v>
      </c>
      <c r="T2" s="900"/>
      <c r="U2" s="900"/>
      <c r="V2" s="900"/>
      <c r="W2" s="900"/>
      <c r="Y2" s="900" t="s">
        <v>974</v>
      </c>
      <c r="Z2" s="900"/>
      <c r="AA2" s="900"/>
      <c r="AB2" s="900"/>
      <c r="AC2" s="900"/>
      <c r="AE2" s="900" t="s">
        <v>974</v>
      </c>
      <c r="AF2" s="900"/>
      <c r="AG2" s="900"/>
      <c r="AH2" s="900"/>
      <c r="AI2" s="900"/>
      <c r="AK2" s="900" t="s">
        <v>974</v>
      </c>
      <c r="AL2" s="900"/>
      <c r="AM2" s="900"/>
      <c r="AN2" s="900"/>
      <c r="AO2" s="900"/>
      <c r="AQ2" s="900" t="s">
        <v>974</v>
      </c>
      <c r="AR2" s="900"/>
      <c r="AS2" s="900"/>
      <c r="AT2" s="900"/>
      <c r="AU2" s="900"/>
      <c r="AW2" s="900" t="s">
        <v>974</v>
      </c>
      <c r="AX2" s="900"/>
      <c r="AY2" s="900"/>
      <c r="AZ2" s="900"/>
      <c r="BA2" s="900"/>
      <c r="BC2" s="900" t="s">
        <v>974</v>
      </c>
      <c r="BD2" s="900"/>
      <c r="BE2" s="900"/>
      <c r="BF2" s="900"/>
      <c r="BG2" s="900"/>
      <c r="BI2" s="900" t="s">
        <v>974</v>
      </c>
      <c r="BJ2" s="900"/>
      <c r="BK2" s="900"/>
      <c r="BL2" s="900"/>
      <c r="BM2" s="900"/>
      <c r="BO2" s="900" t="s">
        <v>974</v>
      </c>
      <c r="BP2" s="900"/>
      <c r="BQ2" s="900"/>
      <c r="BR2" s="900"/>
      <c r="BS2" s="900"/>
    </row>
    <row r="3" spans="1:71" ht="27" customHeight="1" thickBot="1">
      <c r="A3" s="653"/>
      <c r="B3" s="653"/>
      <c r="C3" s="654"/>
      <c r="D3" s="653" t="s">
        <v>975</v>
      </c>
      <c r="E3" s="653"/>
      <c r="F3" s="655"/>
      <c r="G3" s="653"/>
      <c r="H3" s="653"/>
      <c r="I3" s="654"/>
      <c r="J3" s="653" t="s">
        <v>975</v>
      </c>
      <c r="K3" s="653"/>
      <c r="M3" s="653"/>
      <c r="N3" s="653"/>
      <c r="O3" s="654"/>
      <c r="P3" s="653" t="s">
        <v>975</v>
      </c>
      <c r="Q3" s="653"/>
      <c r="S3" s="653"/>
      <c r="T3" s="653"/>
      <c r="U3" s="654"/>
      <c r="V3" s="653" t="s">
        <v>975</v>
      </c>
      <c r="W3" s="653"/>
      <c r="Y3" s="653"/>
      <c r="Z3" s="653"/>
      <c r="AA3" s="654"/>
      <c r="AB3" s="653" t="s">
        <v>975</v>
      </c>
      <c r="AC3" s="653"/>
      <c r="AE3" s="653"/>
      <c r="AF3" s="653"/>
      <c r="AG3" s="654"/>
      <c r="AH3" s="653" t="s">
        <v>975</v>
      </c>
      <c r="AI3" s="653"/>
      <c r="AK3" s="653"/>
      <c r="AL3" s="653"/>
      <c r="AM3" s="654"/>
      <c r="AN3" s="653" t="s">
        <v>975</v>
      </c>
      <c r="AO3" s="653"/>
      <c r="AQ3" s="653"/>
      <c r="AR3" s="653"/>
      <c r="AS3" s="654"/>
      <c r="AT3" s="653" t="s">
        <v>975</v>
      </c>
      <c r="AU3" s="653"/>
      <c r="AW3" s="653"/>
      <c r="AX3" s="653"/>
      <c r="AY3" s="654"/>
      <c r="AZ3" s="653" t="s">
        <v>975</v>
      </c>
      <c r="BA3" s="653"/>
      <c r="BC3" s="653"/>
      <c r="BD3" s="653"/>
      <c r="BE3" s="654"/>
      <c r="BF3" s="653" t="s">
        <v>975</v>
      </c>
      <c r="BG3" s="653"/>
      <c r="BI3" s="653"/>
      <c r="BJ3" s="653"/>
      <c r="BK3" s="654"/>
      <c r="BL3" s="653" t="s">
        <v>975</v>
      </c>
      <c r="BM3" s="653"/>
      <c r="BO3" s="653"/>
      <c r="BP3" s="653"/>
      <c r="BQ3" s="654"/>
      <c r="BR3" s="653" t="s">
        <v>975</v>
      </c>
      <c r="BS3" s="653"/>
    </row>
    <row r="4" spans="1:71" ht="24.75" customHeight="1" thickTop="1">
      <c r="A4" s="898" t="s">
        <v>976</v>
      </c>
      <c r="B4" s="899"/>
      <c r="C4" s="656"/>
      <c r="D4" s="657" t="s">
        <v>29</v>
      </c>
      <c r="E4" s="658" t="s">
        <v>977</v>
      </c>
      <c r="F4" s="652"/>
      <c r="G4" s="898" t="s">
        <v>976</v>
      </c>
      <c r="H4" s="899"/>
      <c r="I4" s="656"/>
      <c r="J4" s="657" t="s">
        <v>29</v>
      </c>
      <c r="K4" s="658" t="s">
        <v>977</v>
      </c>
      <c r="M4" s="898" t="s">
        <v>976</v>
      </c>
      <c r="N4" s="899"/>
      <c r="O4" s="656"/>
      <c r="P4" s="657" t="s">
        <v>29</v>
      </c>
      <c r="Q4" s="658" t="s">
        <v>977</v>
      </c>
      <c r="S4" s="898" t="s">
        <v>976</v>
      </c>
      <c r="T4" s="899"/>
      <c r="U4" s="656"/>
      <c r="V4" s="657" t="s">
        <v>29</v>
      </c>
      <c r="W4" s="658" t="s">
        <v>977</v>
      </c>
      <c r="Y4" s="898" t="s">
        <v>976</v>
      </c>
      <c r="Z4" s="899"/>
      <c r="AA4" s="656"/>
      <c r="AB4" s="657" t="s">
        <v>29</v>
      </c>
      <c r="AC4" s="658" t="s">
        <v>977</v>
      </c>
      <c r="AE4" s="898" t="s">
        <v>976</v>
      </c>
      <c r="AF4" s="899"/>
      <c r="AG4" s="656"/>
      <c r="AH4" s="657" t="s">
        <v>29</v>
      </c>
      <c r="AI4" s="658" t="s">
        <v>977</v>
      </c>
      <c r="AK4" s="898" t="s">
        <v>976</v>
      </c>
      <c r="AL4" s="899"/>
      <c r="AM4" s="656"/>
      <c r="AN4" s="657" t="s">
        <v>29</v>
      </c>
      <c r="AO4" s="658" t="s">
        <v>977</v>
      </c>
      <c r="AQ4" s="898" t="s">
        <v>976</v>
      </c>
      <c r="AR4" s="899"/>
      <c r="AS4" s="656"/>
      <c r="AT4" s="657" t="s">
        <v>29</v>
      </c>
      <c r="AU4" s="658" t="s">
        <v>977</v>
      </c>
      <c r="AW4" s="898" t="s">
        <v>976</v>
      </c>
      <c r="AX4" s="899"/>
      <c r="AY4" s="656"/>
      <c r="AZ4" s="657" t="s">
        <v>29</v>
      </c>
      <c r="BA4" s="658" t="s">
        <v>977</v>
      </c>
      <c r="BC4" s="898" t="s">
        <v>976</v>
      </c>
      <c r="BD4" s="899"/>
      <c r="BE4" s="656"/>
      <c r="BF4" s="657" t="s">
        <v>29</v>
      </c>
      <c r="BG4" s="658" t="s">
        <v>977</v>
      </c>
      <c r="BI4" s="898" t="s">
        <v>976</v>
      </c>
      <c r="BJ4" s="899"/>
      <c r="BK4" s="656"/>
      <c r="BL4" s="657" t="s">
        <v>29</v>
      </c>
      <c r="BM4" s="658" t="s">
        <v>977</v>
      </c>
      <c r="BO4" s="898" t="s">
        <v>976</v>
      </c>
      <c r="BP4" s="899"/>
      <c r="BQ4" s="656"/>
      <c r="BR4" s="657" t="s">
        <v>29</v>
      </c>
      <c r="BS4" s="658" t="s">
        <v>977</v>
      </c>
    </row>
    <row r="5" spans="1:71" ht="24.75" customHeight="1">
      <c r="A5" s="659" t="s">
        <v>33</v>
      </c>
      <c r="B5" s="659" t="s">
        <v>978</v>
      </c>
      <c r="C5" s="660" t="s">
        <v>32</v>
      </c>
      <c r="D5" s="661" t="s">
        <v>979</v>
      </c>
      <c r="E5" s="662" t="s">
        <v>978</v>
      </c>
      <c r="F5" s="652"/>
      <c r="G5" s="659" t="s">
        <v>33</v>
      </c>
      <c r="H5" s="662" t="s">
        <v>978</v>
      </c>
      <c r="I5" s="660" t="s">
        <v>32</v>
      </c>
      <c r="J5" s="661" t="s">
        <v>979</v>
      </c>
      <c r="K5" s="662" t="s">
        <v>978</v>
      </c>
      <c r="M5" s="659" t="s">
        <v>33</v>
      </c>
      <c r="N5" s="662" t="s">
        <v>978</v>
      </c>
      <c r="O5" s="660" t="s">
        <v>32</v>
      </c>
      <c r="P5" s="661" t="s">
        <v>979</v>
      </c>
      <c r="Q5" s="662" t="s">
        <v>978</v>
      </c>
      <c r="S5" s="659" t="s">
        <v>33</v>
      </c>
      <c r="T5" s="662" t="s">
        <v>978</v>
      </c>
      <c r="U5" s="660" t="s">
        <v>32</v>
      </c>
      <c r="V5" s="661" t="s">
        <v>979</v>
      </c>
      <c r="W5" s="662" t="s">
        <v>978</v>
      </c>
      <c r="Y5" s="659" t="s">
        <v>33</v>
      </c>
      <c r="Z5" s="662" t="s">
        <v>978</v>
      </c>
      <c r="AA5" s="660" t="s">
        <v>32</v>
      </c>
      <c r="AB5" s="661" t="s">
        <v>979</v>
      </c>
      <c r="AC5" s="662" t="s">
        <v>978</v>
      </c>
      <c r="AE5" s="659" t="s">
        <v>33</v>
      </c>
      <c r="AF5" s="662" t="s">
        <v>978</v>
      </c>
      <c r="AG5" s="660" t="s">
        <v>32</v>
      </c>
      <c r="AH5" s="661" t="s">
        <v>979</v>
      </c>
      <c r="AI5" s="662" t="s">
        <v>978</v>
      </c>
      <c r="AK5" s="659" t="s">
        <v>33</v>
      </c>
      <c r="AL5" s="662" t="s">
        <v>978</v>
      </c>
      <c r="AM5" s="660" t="s">
        <v>32</v>
      </c>
      <c r="AN5" s="661" t="s">
        <v>979</v>
      </c>
      <c r="AO5" s="662" t="s">
        <v>978</v>
      </c>
      <c r="AQ5" s="659" t="s">
        <v>33</v>
      </c>
      <c r="AR5" s="662" t="s">
        <v>978</v>
      </c>
      <c r="AS5" s="660" t="s">
        <v>32</v>
      </c>
      <c r="AT5" s="661" t="s">
        <v>979</v>
      </c>
      <c r="AU5" s="662" t="s">
        <v>978</v>
      </c>
      <c r="AW5" s="659" t="s">
        <v>33</v>
      </c>
      <c r="AX5" s="662" t="s">
        <v>978</v>
      </c>
      <c r="AY5" s="660" t="s">
        <v>32</v>
      </c>
      <c r="AZ5" s="661" t="s">
        <v>979</v>
      </c>
      <c r="BA5" s="662" t="s">
        <v>978</v>
      </c>
      <c r="BC5" s="659" t="s">
        <v>33</v>
      </c>
      <c r="BD5" s="662" t="s">
        <v>978</v>
      </c>
      <c r="BE5" s="660" t="s">
        <v>32</v>
      </c>
      <c r="BF5" s="661" t="s">
        <v>979</v>
      </c>
      <c r="BG5" s="662" t="s">
        <v>978</v>
      </c>
      <c r="BI5" s="659" t="s">
        <v>33</v>
      </c>
      <c r="BJ5" s="662" t="s">
        <v>978</v>
      </c>
      <c r="BK5" s="660" t="s">
        <v>32</v>
      </c>
      <c r="BL5" s="661" t="s">
        <v>979</v>
      </c>
      <c r="BM5" s="662" t="s">
        <v>978</v>
      </c>
      <c r="BO5" s="659" t="s">
        <v>33</v>
      </c>
      <c r="BP5" s="662" t="s">
        <v>978</v>
      </c>
      <c r="BQ5" s="660" t="s">
        <v>32</v>
      </c>
      <c r="BR5" s="661" t="s">
        <v>979</v>
      </c>
      <c r="BS5" s="662" t="s">
        <v>978</v>
      </c>
    </row>
    <row r="6" spans="1:73" ht="24.75" customHeight="1" thickBot="1">
      <c r="A6" s="663" t="s">
        <v>980</v>
      </c>
      <c r="B6" s="663" t="s">
        <v>980</v>
      </c>
      <c r="C6" s="664"/>
      <c r="D6" s="663" t="s">
        <v>981</v>
      </c>
      <c r="E6" s="665" t="s">
        <v>980</v>
      </c>
      <c r="F6" s="666" t="s">
        <v>982</v>
      </c>
      <c r="G6" s="663" t="s">
        <v>980</v>
      </c>
      <c r="H6" s="665" t="s">
        <v>980</v>
      </c>
      <c r="I6" s="664"/>
      <c r="J6" s="663" t="s">
        <v>981</v>
      </c>
      <c r="K6" s="665" t="s">
        <v>980</v>
      </c>
      <c r="M6" s="663" t="s">
        <v>980</v>
      </c>
      <c r="N6" s="665" t="s">
        <v>980</v>
      </c>
      <c r="O6" s="664"/>
      <c r="P6" s="663" t="s">
        <v>981</v>
      </c>
      <c r="Q6" s="665" t="s">
        <v>980</v>
      </c>
      <c r="S6" s="663" t="s">
        <v>980</v>
      </c>
      <c r="T6" s="665" t="s">
        <v>980</v>
      </c>
      <c r="U6" s="664"/>
      <c r="V6" s="663" t="s">
        <v>981</v>
      </c>
      <c r="W6" s="665" t="s">
        <v>980</v>
      </c>
      <c r="Y6" s="663" t="s">
        <v>980</v>
      </c>
      <c r="Z6" s="665" t="s">
        <v>980</v>
      </c>
      <c r="AA6" s="664"/>
      <c r="AB6" s="663" t="s">
        <v>981</v>
      </c>
      <c r="AC6" s="665" t="s">
        <v>980</v>
      </c>
      <c r="AE6" s="663" t="s">
        <v>980</v>
      </c>
      <c r="AF6" s="665" t="s">
        <v>980</v>
      </c>
      <c r="AG6" s="664"/>
      <c r="AH6" s="663" t="s">
        <v>981</v>
      </c>
      <c r="AI6" s="665" t="s">
        <v>980</v>
      </c>
      <c r="AK6" s="663" t="s">
        <v>980</v>
      </c>
      <c r="AL6" s="665" t="s">
        <v>980</v>
      </c>
      <c r="AM6" s="664"/>
      <c r="AN6" s="663" t="s">
        <v>981</v>
      </c>
      <c r="AO6" s="665" t="s">
        <v>980</v>
      </c>
      <c r="AQ6" s="663" t="s">
        <v>980</v>
      </c>
      <c r="AR6" s="665" t="s">
        <v>980</v>
      </c>
      <c r="AS6" s="664"/>
      <c r="AT6" s="663" t="s">
        <v>981</v>
      </c>
      <c r="AU6" s="665" t="s">
        <v>980</v>
      </c>
      <c r="AW6" s="663" t="s">
        <v>980</v>
      </c>
      <c r="AX6" s="665" t="s">
        <v>980</v>
      </c>
      <c r="AY6" s="664"/>
      <c r="AZ6" s="663" t="s">
        <v>981</v>
      </c>
      <c r="BA6" s="665" t="s">
        <v>980</v>
      </c>
      <c r="BC6" s="663" t="s">
        <v>980</v>
      </c>
      <c r="BD6" s="665" t="s">
        <v>980</v>
      </c>
      <c r="BE6" s="664"/>
      <c r="BF6" s="663" t="s">
        <v>981</v>
      </c>
      <c r="BG6" s="665" t="s">
        <v>980</v>
      </c>
      <c r="BI6" s="663" t="s">
        <v>980</v>
      </c>
      <c r="BJ6" s="665" t="s">
        <v>980</v>
      </c>
      <c r="BK6" s="664"/>
      <c r="BL6" s="663" t="s">
        <v>981</v>
      </c>
      <c r="BM6" s="665" t="s">
        <v>980</v>
      </c>
      <c r="BO6" s="663" t="s">
        <v>980</v>
      </c>
      <c r="BP6" s="665" t="s">
        <v>980</v>
      </c>
      <c r="BQ6" s="664"/>
      <c r="BR6" s="663" t="s">
        <v>981</v>
      </c>
      <c r="BS6" s="665" t="s">
        <v>980</v>
      </c>
      <c r="BT6" s="651" t="s">
        <v>675</v>
      </c>
      <c r="BU6" s="649" t="s">
        <v>676</v>
      </c>
    </row>
    <row r="7" spans="1:74" ht="24.75" customHeight="1" thickTop="1">
      <c r="A7" s="667"/>
      <c r="B7" s="668"/>
      <c r="C7" s="669" t="s">
        <v>889</v>
      </c>
      <c r="D7" s="670"/>
      <c r="E7" s="671">
        <v>31845548.12</v>
      </c>
      <c r="F7" s="672" t="s">
        <v>983</v>
      </c>
      <c r="G7" s="667"/>
      <c r="H7" s="668"/>
      <c r="I7" s="669" t="s">
        <v>889</v>
      </c>
      <c r="J7" s="670"/>
      <c r="K7" s="671">
        <f>+E78</f>
        <v>31494781.820000008</v>
      </c>
      <c r="M7" s="667"/>
      <c r="N7" s="668"/>
      <c r="O7" s="669" t="s">
        <v>889</v>
      </c>
      <c r="P7" s="670"/>
      <c r="Q7" s="671">
        <f>+K78</f>
        <v>36140270.38000001</v>
      </c>
      <c r="S7" s="667"/>
      <c r="T7" s="668"/>
      <c r="U7" s="669" t="s">
        <v>889</v>
      </c>
      <c r="V7" s="670"/>
      <c r="W7" s="671">
        <f>+Q78</f>
        <v>41961722.10000001</v>
      </c>
      <c r="Y7" s="667"/>
      <c r="Z7" s="668"/>
      <c r="AA7" s="669" t="s">
        <v>889</v>
      </c>
      <c r="AB7" s="670"/>
      <c r="AC7" s="671">
        <f>+W78</f>
        <v>44896991.87000001</v>
      </c>
      <c r="AE7" s="667"/>
      <c r="AF7" s="668"/>
      <c r="AG7" s="669" t="s">
        <v>889</v>
      </c>
      <c r="AH7" s="670"/>
      <c r="AI7" s="671">
        <f>+AC78</f>
        <v>40292577.66000001</v>
      </c>
      <c r="AK7" s="667"/>
      <c r="AL7" s="668"/>
      <c r="AM7" s="669" t="s">
        <v>889</v>
      </c>
      <c r="AN7" s="670"/>
      <c r="AO7" s="671">
        <f>+AI78</f>
        <v>46628981.390000015</v>
      </c>
      <c r="AQ7" s="667"/>
      <c r="AR7" s="668"/>
      <c r="AS7" s="669" t="s">
        <v>889</v>
      </c>
      <c r="AT7" s="670"/>
      <c r="AU7" s="671">
        <f>+AO78</f>
        <v>44573396.180000015</v>
      </c>
      <c r="AW7" s="667"/>
      <c r="AX7" s="668"/>
      <c r="AY7" s="669" t="s">
        <v>889</v>
      </c>
      <c r="AZ7" s="670"/>
      <c r="BA7" s="671">
        <f>+AU78</f>
        <v>44320517.55000001</v>
      </c>
      <c r="BC7" s="667"/>
      <c r="BD7" s="668"/>
      <c r="BE7" s="669" t="s">
        <v>889</v>
      </c>
      <c r="BF7" s="670"/>
      <c r="BG7" s="671">
        <f>+BA78</f>
        <v>42160694.860000014</v>
      </c>
      <c r="BI7" s="667"/>
      <c r="BJ7" s="668"/>
      <c r="BK7" s="669" t="s">
        <v>889</v>
      </c>
      <c r="BL7" s="670"/>
      <c r="BM7" s="671">
        <f>+BG78</f>
        <v>42071910.95000001</v>
      </c>
      <c r="BO7" s="667"/>
      <c r="BP7" s="668"/>
      <c r="BQ7" s="669" t="s">
        <v>889</v>
      </c>
      <c r="BR7" s="670"/>
      <c r="BS7" s="671">
        <f>+BM78</f>
        <v>42063949.91000001</v>
      </c>
      <c r="BT7" s="651">
        <v>3068260.79</v>
      </c>
      <c r="BU7" s="673">
        <v>9654764.67</v>
      </c>
      <c r="BV7" s="673">
        <f>+BS7+BT7-BU7</f>
        <v>35477446.03000001</v>
      </c>
    </row>
    <row r="8" spans="1:74" ht="24.75" customHeight="1">
      <c r="A8" s="674"/>
      <c r="B8" s="675"/>
      <c r="C8" s="676" t="s">
        <v>984</v>
      </c>
      <c r="D8" s="670"/>
      <c r="E8" s="671"/>
      <c r="F8" s="672" t="s">
        <v>985</v>
      </c>
      <c r="G8" s="674"/>
      <c r="H8" s="675"/>
      <c r="I8" s="676" t="s">
        <v>984</v>
      </c>
      <c r="J8" s="670"/>
      <c r="K8" s="671"/>
      <c r="M8" s="674"/>
      <c r="N8" s="675"/>
      <c r="O8" s="676" t="s">
        <v>984</v>
      </c>
      <c r="P8" s="670"/>
      <c r="Q8" s="671"/>
      <c r="S8" s="674"/>
      <c r="T8" s="675"/>
      <c r="U8" s="676" t="s">
        <v>984</v>
      </c>
      <c r="V8" s="670"/>
      <c r="W8" s="671"/>
      <c r="Y8" s="674"/>
      <c r="Z8" s="675"/>
      <c r="AA8" s="676" t="s">
        <v>984</v>
      </c>
      <c r="AB8" s="670"/>
      <c r="AC8" s="671"/>
      <c r="AE8" s="674"/>
      <c r="AF8" s="675"/>
      <c r="AG8" s="676" t="s">
        <v>984</v>
      </c>
      <c r="AH8" s="670"/>
      <c r="AI8" s="671"/>
      <c r="AK8" s="674"/>
      <c r="AL8" s="675"/>
      <c r="AM8" s="676" t="s">
        <v>984</v>
      </c>
      <c r="AN8" s="670"/>
      <c r="AO8" s="671"/>
      <c r="AQ8" s="674"/>
      <c r="AR8" s="675"/>
      <c r="AS8" s="676" t="s">
        <v>984</v>
      </c>
      <c r="AT8" s="670"/>
      <c r="AU8" s="671"/>
      <c r="AW8" s="674"/>
      <c r="AX8" s="675"/>
      <c r="AY8" s="676" t="s">
        <v>984</v>
      </c>
      <c r="AZ8" s="670"/>
      <c r="BA8" s="671"/>
      <c r="BC8" s="674"/>
      <c r="BD8" s="675"/>
      <c r="BE8" s="676" t="s">
        <v>984</v>
      </c>
      <c r="BF8" s="670"/>
      <c r="BG8" s="671"/>
      <c r="BI8" s="674"/>
      <c r="BJ8" s="675"/>
      <c r="BK8" s="676" t="s">
        <v>984</v>
      </c>
      <c r="BL8" s="670"/>
      <c r="BM8" s="671"/>
      <c r="BO8" s="674"/>
      <c r="BP8" s="675"/>
      <c r="BQ8" s="676" t="s">
        <v>984</v>
      </c>
      <c r="BR8" s="670"/>
      <c r="BS8" s="671"/>
      <c r="BT8" s="651">
        <f>+BS35-BT7</f>
        <v>68770.47999999998</v>
      </c>
      <c r="BV8" s="673">
        <f>+BV7-BS79</f>
        <v>0</v>
      </c>
    </row>
    <row r="9" spans="1:71" ht="24.75" customHeight="1">
      <c r="A9" s="671">
        <v>287000</v>
      </c>
      <c r="B9" s="671">
        <f>+E9</f>
        <v>4589.45</v>
      </c>
      <c r="C9" s="669" t="s">
        <v>986</v>
      </c>
      <c r="D9" s="677" t="s">
        <v>280</v>
      </c>
      <c r="E9" s="671">
        <v>4589.45</v>
      </c>
      <c r="F9" s="678"/>
      <c r="G9" s="671">
        <v>287000</v>
      </c>
      <c r="H9" s="671">
        <f>+E9+K9</f>
        <v>11550.5</v>
      </c>
      <c r="I9" s="669" t="s">
        <v>986</v>
      </c>
      <c r="J9" s="677" t="s">
        <v>280</v>
      </c>
      <c r="K9" s="671">
        <v>6961.05</v>
      </c>
      <c r="M9" s="671">
        <v>287000</v>
      </c>
      <c r="N9" s="671">
        <f>+E9+K9+Q9</f>
        <v>14322.7</v>
      </c>
      <c r="O9" s="669" t="s">
        <v>986</v>
      </c>
      <c r="P9" s="677" t="s">
        <v>280</v>
      </c>
      <c r="Q9" s="671">
        <v>2772.2</v>
      </c>
      <c r="S9" s="671">
        <v>287000</v>
      </c>
      <c r="T9" s="671">
        <f>+K9+Q9+W9+E9</f>
        <v>63045.85</v>
      </c>
      <c r="U9" s="669" t="s">
        <v>986</v>
      </c>
      <c r="V9" s="677" t="s">
        <v>280</v>
      </c>
      <c r="W9" s="671">
        <v>48723.15</v>
      </c>
      <c r="Y9" s="671">
        <v>287000</v>
      </c>
      <c r="Z9" s="671">
        <f>+Q9+W9+AC9+K9+E9</f>
        <v>172720.85</v>
      </c>
      <c r="AA9" s="669" t="s">
        <v>986</v>
      </c>
      <c r="AB9" s="677" t="s">
        <v>280</v>
      </c>
      <c r="AC9" s="679">
        <v>109675</v>
      </c>
      <c r="AE9" s="671">
        <v>287000</v>
      </c>
      <c r="AF9" s="671">
        <f>+W9+AC9+AI9+Q9+K9+E9</f>
        <v>263773.85</v>
      </c>
      <c r="AG9" s="669" t="s">
        <v>986</v>
      </c>
      <c r="AH9" s="677" t="s">
        <v>280</v>
      </c>
      <c r="AI9" s="671">
        <v>91053</v>
      </c>
      <c r="AK9" s="671">
        <v>287000</v>
      </c>
      <c r="AL9" s="671">
        <f>+AC9+AI9+AO9+W9+Q9+K9+E9</f>
        <v>294142.85000000003</v>
      </c>
      <c r="AM9" s="669" t="s">
        <v>986</v>
      </c>
      <c r="AN9" s="677" t="s">
        <v>280</v>
      </c>
      <c r="AO9" s="671">
        <v>30369</v>
      </c>
      <c r="AQ9" s="671">
        <v>287000</v>
      </c>
      <c r="AR9" s="671">
        <f>+AI9+AO9+AU9+AC9+W9+Q9+K9+E9</f>
        <v>308475.85000000003</v>
      </c>
      <c r="AS9" s="669" t="s">
        <v>986</v>
      </c>
      <c r="AT9" s="677" t="s">
        <v>280</v>
      </c>
      <c r="AU9" s="671">
        <v>14333</v>
      </c>
      <c r="AW9" s="671">
        <v>287000</v>
      </c>
      <c r="AX9" s="671">
        <f>+AO9+AU9+BA9+AI9+AC9+W9+Q9+K9+E9</f>
        <v>314596.85000000003</v>
      </c>
      <c r="AY9" s="669" t="s">
        <v>986</v>
      </c>
      <c r="AZ9" s="677" t="s">
        <v>280</v>
      </c>
      <c r="BA9" s="671">
        <v>6121</v>
      </c>
      <c r="BC9" s="671">
        <v>287000</v>
      </c>
      <c r="BD9" s="671">
        <f>+AU9+BA9+BG9+AO9+AI9+AC9+W9+Q9+K9+E9</f>
        <v>317813.85000000003</v>
      </c>
      <c r="BE9" s="669" t="s">
        <v>986</v>
      </c>
      <c r="BF9" s="677" t="s">
        <v>280</v>
      </c>
      <c r="BG9" s="671">
        <v>3217</v>
      </c>
      <c r="BI9" s="671">
        <v>287000</v>
      </c>
      <c r="BJ9" s="671">
        <f>+BA9+BG9+BM9+AU9+AO9+AI9+AC9+W9+Q9+K9+E9</f>
        <v>321083.85000000003</v>
      </c>
      <c r="BK9" s="669" t="s">
        <v>986</v>
      </c>
      <c r="BL9" s="677" t="s">
        <v>280</v>
      </c>
      <c r="BM9" s="671">
        <v>3270</v>
      </c>
      <c r="BO9" s="671">
        <v>287000</v>
      </c>
      <c r="BP9" s="680">
        <f>+BG9+BM9+BS9+BA9+AU9+AO9+AI9+AC9+W9+Q9+K9+E9</f>
        <v>324076.85000000003</v>
      </c>
      <c r="BQ9" s="669" t="s">
        <v>986</v>
      </c>
      <c r="BR9" s="677" t="s">
        <v>280</v>
      </c>
      <c r="BS9" s="671">
        <v>2993</v>
      </c>
    </row>
    <row r="10" spans="1:71" ht="24.75" customHeight="1">
      <c r="A10" s="671">
        <v>403000</v>
      </c>
      <c r="B10" s="671">
        <f aca="true" t="shared" si="0" ref="B10:B29">+E10</f>
        <v>4459.4</v>
      </c>
      <c r="C10" s="669" t="s">
        <v>987</v>
      </c>
      <c r="D10" s="677" t="s">
        <v>300</v>
      </c>
      <c r="E10" s="671">
        <v>4459.4</v>
      </c>
      <c r="F10" s="678">
        <f>19.4+20+1320+400+2000+700</f>
        <v>4459.4</v>
      </c>
      <c r="G10" s="671">
        <v>403000</v>
      </c>
      <c r="H10" s="671">
        <f aca="true" t="shared" si="1" ref="H10:H29">+E10+K10</f>
        <v>12968.8</v>
      </c>
      <c r="I10" s="669" t="s">
        <v>987</v>
      </c>
      <c r="J10" s="677" t="s">
        <v>300</v>
      </c>
      <c r="K10" s="671">
        <v>8509.4</v>
      </c>
      <c r="M10" s="671">
        <v>403000</v>
      </c>
      <c r="N10" s="671">
        <f aca="true" t="shared" si="2" ref="N10:N31">+E10+K10+Q10</f>
        <v>14292.599999999999</v>
      </c>
      <c r="O10" s="669" t="s">
        <v>987</v>
      </c>
      <c r="P10" s="677" t="s">
        <v>300</v>
      </c>
      <c r="Q10" s="671">
        <v>1323.8</v>
      </c>
      <c r="S10" s="671">
        <v>403000</v>
      </c>
      <c r="T10" s="671">
        <f aca="true" t="shared" si="3" ref="T10:T32">+K10+Q10+W10+E10</f>
        <v>16257.599999999999</v>
      </c>
      <c r="U10" s="669" t="s">
        <v>987</v>
      </c>
      <c r="V10" s="677" t="s">
        <v>300</v>
      </c>
      <c r="W10" s="671">
        <v>1965</v>
      </c>
      <c r="Y10" s="671">
        <v>403000</v>
      </c>
      <c r="Z10" s="671">
        <f aca="true" t="shared" si="4" ref="Z10:Z32">+Q10+W10+AC10+K10+E10</f>
        <v>78900.19999999998</v>
      </c>
      <c r="AA10" s="669" t="s">
        <v>987</v>
      </c>
      <c r="AB10" s="677" t="s">
        <v>300</v>
      </c>
      <c r="AC10" s="671">
        <v>62642.6</v>
      </c>
      <c r="AE10" s="671">
        <v>403000</v>
      </c>
      <c r="AF10" s="671">
        <f aca="true" t="shared" si="5" ref="AF10:AF25">+W10+AC10+AI10+Q10+K10+E10</f>
        <v>111015.4</v>
      </c>
      <c r="AG10" s="669" t="s">
        <v>987</v>
      </c>
      <c r="AH10" s="677" t="s">
        <v>300</v>
      </c>
      <c r="AI10" s="671">
        <v>32115.2</v>
      </c>
      <c r="AK10" s="671">
        <v>403000</v>
      </c>
      <c r="AL10" s="671">
        <f>+AC10+AI10+AO10+W10+Q10+K10+E10+50</f>
        <v>139643.4</v>
      </c>
      <c r="AM10" s="669" t="s">
        <v>987</v>
      </c>
      <c r="AN10" s="677" t="s">
        <v>300</v>
      </c>
      <c r="AO10" s="671">
        <v>28578</v>
      </c>
      <c r="AQ10" s="671">
        <v>403000</v>
      </c>
      <c r="AR10" s="679">
        <f>+AI10+AO10+AU10+AC10+W10+Q10+K10+50+E10</f>
        <v>161086.8</v>
      </c>
      <c r="AS10" s="669" t="s">
        <v>987</v>
      </c>
      <c r="AT10" s="677" t="s">
        <v>300</v>
      </c>
      <c r="AU10" s="671">
        <v>21443.4</v>
      </c>
      <c r="AW10" s="671">
        <v>403000</v>
      </c>
      <c r="AX10" s="679">
        <f>+AO10+AU10+BA10+AI10+AC10+W10+Q10+K10+E10+50</f>
        <v>190676.19999999998</v>
      </c>
      <c r="AY10" s="669" t="s">
        <v>987</v>
      </c>
      <c r="AZ10" s="677" t="s">
        <v>300</v>
      </c>
      <c r="BA10" s="671">
        <v>29589.4</v>
      </c>
      <c r="BC10" s="671">
        <v>403000</v>
      </c>
      <c r="BD10" s="679">
        <f>+AU10+BA10+BG10+AO10+AI10+AC10+W10+Q10+K10+E10+50</f>
        <v>225084.4</v>
      </c>
      <c r="BE10" s="669" t="s">
        <v>987</v>
      </c>
      <c r="BF10" s="677" t="s">
        <v>300</v>
      </c>
      <c r="BG10" s="671">
        <v>34408.2</v>
      </c>
      <c r="BI10" s="671">
        <v>403000</v>
      </c>
      <c r="BJ10" s="679">
        <f>+BA10+BG10+BM10+AU10+AO10+AI10+AC10+W10+Q10+K10+E10+50</f>
        <v>240073.8</v>
      </c>
      <c r="BK10" s="669" t="s">
        <v>987</v>
      </c>
      <c r="BL10" s="677" t="s">
        <v>300</v>
      </c>
      <c r="BM10" s="671">
        <v>14989.4</v>
      </c>
      <c r="BO10" s="671">
        <v>403000</v>
      </c>
      <c r="BP10" s="680">
        <f>+BG10+BM10+BS10+BA10+AU10+AO10+AI10+AC10+W10+Q10+K10+E10+50</f>
        <v>249553.19999999998</v>
      </c>
      <c r="BQ10" s="669" t="s">
        <v>987</v>
      </c>
      <c r="BR10" s="677" t="s">
        <v>300</v>
      </c>
      <c r="BS10" s="671">
        <v>9479.4</v>
      </c>
    </row>
    <row r="11" spans="1:71" ht="24.75" customHeight="1">
      <c r="A11" s="671">
        <v>500000</v>
      </c>
      <c r="B11" s="671">
        <f t="shared" si="0"/>
        <v>27100</v>
      </c>
      <c r="C11" s="669" t="s">
        <v>61</v>
      </c>
      <c r="D11" s="677" t="s">
        <v>402</v>
      </c>
      <c r="E11" s="671">
        <v>27100</v>
      </c>
      <c r="F11" s="678">
        <v>27100</v>
      </c>
      <c r="G11" s="671">
        <v>500000</v>
      </c>
      <c r="H11" s="671">
        <f t="shared" si="1"/>
        <v>70909.31</v>
      </c>
      <c r="I11" s="669" t="s">
        <v>61</v>
      </c>
      <c r="J11" s="677" t="s">
        <v>402</v>
      </c>
      <c r="K11" s="671">
        <v>43809.31</v>
      </c>
      <c r="M11" s="671">
        <v>500000</v>
      </c>
      <c r="N11" s="671">
        <f t="shared" si="2"/>
        <v>100509.31</v>
      </c>
      <c r="O11" s="669" t="s">
        <v>61</v>
      </c>
      <c r="P11" s="677" t="s">
        <v>402</v>
      </c>
      <c r="Q11" s="671">
        <v>29600</v>
      </c>
      <c r="S11" s="671">
        <v>500000</v>
      </c>
      <c r="T11" s="671">
        <f t="shared" si="3"/>
        <v>144328.29</v>
      </c>
      <c r="U11" s="669" t="s">
        <v>61</v>
      </c>
      <c r="V11" s="677" t="s">
        <v>402</v>
      </c>
      <c r="W11" s="671">
        <v>43818.98</v>
      </c>
      <c r="Y11" s="671">
        <v>500000</v>
      </c>
      <c r="Z11" s="671">
        <f t="shared" si="4"/>
        <v>160028.29</v>
      </c>
      <c r="AA11" s="669" t="s">
        <v>61</v>
      </c>
      <c r="AB11" s="677" t="s">
        <v>402</v>
      </c>
      <c r="AC11" s="671">
        <v>15700</v>
      </c>
      <c r="AE11" s="671">
        <v>500000</v>
      </c>
      <c r="AF11" s="671">
        <f t="shared" si="5"/>
        <v>197352.03</v>
      </c>
      <c r="AG11" s="669" t="s">
        <v>61</v>
      </c>
      <c r="AH11" s="677" t="s">
        <v>402</v>
      </c>
      <c r="AI11" s="671">
        <v>37323.74</v>
      </c>
      <c r="AK11" s="671">
        <v>500000</v>
      </c>
      <c r="AL11" s="671">
        <f aca="true" t="shared" si="6" ref="AL11:AL33">+AC11+AI11+AO11+W11+Q11+K11+E11</f>
        <v>285765.02</v>
      </c>
      <c r="AM11" s="669" t="s">
        <v>61</v>
      </c>
      <c r="AN11" s="677" t="s">
        <v>402</v>
      </c>
      <c r="AO11" s="671">
        <v>88412.99</v>
      </c>
      <c r="AQ11" s="671">
        <v>500000</v>
      </c>
      <c r="AR11" s="671">
        <f>+AI11+AO11+AU11+AC11+W11+Q11+K11+E11</f>
        <v>326458.35</v>
      </c>
      <c r="AS11" s="669" t="s">
        <v>61</v>
      </c>
      <c r="AT11" s="677" t="s">
        <v>402</v>
      </c>
      <c r="AU11" s="671">
        <v>40693.33</v>
      </c>
      <c r="AW11" s="671">
        <v>500000</v>
      </c>
      <c r="AX11" s="671">
        <f>+AO11+AU11+BA11+AI11+AC11+W11+Q11+K11+E11</f>
        <v>367406.45999999996</v>
      </c>
      <c r="AY11" s="669" t="s">
        <v>61</v>
      </c>
      <c r="AZ11" s="677" t="s">
        <v>402</v>
      </c>
      <c r="BA11" s="671">
        <v>40948.11</v>
      </c>
      <c r="BC11" s="671">
        <v>500000</v>
      </c>
      <c r="BD11" s="671">
        <f aca="true" t="shared" si="7" ref="BD11:BD31">+AU11+BA11+BG11+AO11+AI11+AC11+W11+Q11+K11+E11</f>
        <v>482187.92</v>
      </c>
      <c r="BE11" s="669" t="s">
        <v>61</v>
      </c>
      <c r="BF11" s="677" t="s">
        <v>402</v>
      </c>
      <c r="BG11" s="671">
        <v>114781.46</v>
      </c>
      <c r="BI11" s="671">
        <v>500000</v>
      </c>
      <c r="BJ11" s="671">
        <f>+BA11+BG11+BM11+AU11+AO11+AI11+AC11+W11+Q11+K11+E11</f>
        <v>501637.92</v>
      </c>
      <c r="BK11" s="669" t="s">
        <v>61</v>
      </c>
      <c r="BL11" s="677" t="s">
        <v>402</v>
      </c>
      <c r="BM11" s="671">
        <v>19450</v>
      </c>
      <c r="BO11" s="671">
        <v>500000</v>
      </c>
      <c r="BP11" s="680">
        <f aca="true" t="shared" si="8" ref="BP11:BP34">+BG11+BM11+BS11+BA11+AU11+AO11+AI11+AC11+W11+Q11+K11+E11</f>
        <v>610273.25</v>
      </c>
      <c r="BQ11" s="669" t="s">
        <v>61</v>
      </c>
      <c r="BR11" s="677" t="s">
        <v>402</v>
      </c>
      <c r="BS11" s="671">
        <v>108635.33</v>
      </c>
    </row>
    <row r="12" spans="1:71" ht="24.75" customHeight="1">
      <c r="A12" s="671">
        <v>0</v>
      </c>
      <c r="B12" s="671">
        <f t="shared" si="0"/>
        <v>0</v>
      </c>
      <c r="C12" s="669" t="s">
        <v>429</v>
      </c>
      <c r="D12" s="677" t="s">
        <v>424</v>
      </c>
      <c r="E12" s="675"/>
      <c r="F12" s="681"/>
      <c r="G12" s="671">
        <v>0</v>
      </c>
      <c r="H12" s="671">
        <f t="shared" si="1"/>
        <v>0</v>
      </c>
      <c r="I12" s="669" t="s">
        <v>429</v>
      </c>
      <c r="J12" s="677" t="s">
        <v>424</v>
      </c>
      <c r="K12" s="675"/>
      <c r="M12" s="671">
        <v>0</v>
      </c>
      <c r="N12" s="671">
        <f t="shared" si="2"/>
        <v>0</v>
      </c>
      <c r="O12" s="669" t="s">
        <v>429</v>
      </c>
      <c r="P12" s="677" t="s">
        <v>424</v>
      </c>
      <c r="Q12" s="675"/>
      <c r="S12" s="671">
        <v>0</v>
      </c>
      <c r="T12" s="671">
        <f t="shared" si="3"/>
        <v>0</v>
      </c>
      <c r="U12" s="669" t="s">
        <v>429</v>
      </c>
      <c r="V12" s="677" t="s">
        <v>424</v>
      </c>
      <c r="W12" s="675"/>
      <c r="Y12" s="671">
        <v>0</v>
      </c>
      <c r="Z12" s="671">
        <f t="shared" si="4"/>
        <v>0</v>
      </c>
      <c r="AA12" s="669" t="s">
        <v>429</v>
      </c>
      <c r="AB12" s="677" t="s">
        <v>424</v>
      </c>
      <c r="AC12" s="675"/>
      <c r="AE12" s="671">
        <v>0</v>
      </c>
      <c r="AF12" s="671">
        <f t="shared" si="5"/>
        <v>0</v>
      </c>
      <c r="AG12" s="669" t="s">
        <v>429</v>
      </c>
      <c r="AH12" s="677" t="s">
        <v>424</v>
      </c>
      <c r="AI12" s="675"/>
      <c r="AK12" s="671">
        <v>0</v>
      </c>
      <c r="AL12" s="671">
        <f t="shared" si="6"/>
        <v>0</v>
      </c>
      <c r="AM12" s="669" t="s">
        <v>429</v>
      </c>
      <c r="AN12" s="677" t="s">
        <v>424</v>
      </c>
      <c r="AO12" s="675"/>
      <c r="AQ12" s="671">
        <v>0</v>
      </c>
      <c r="AR12" s="671">
        <f>+AI12+AO12+AU12+AC12+W12+Q12+K12+E12</f>
        <v>0</v>
      </c>
      <c r="AS12" s="669" t="s">
        <v>429</v>
      </c>
      <c r="AT12" s="677" t="s">
        <v>424</v>
      </c>
      <c r="AU12" s="675"/>
      <c r="AW12" s="671">
        <v>0</v>
      </c>
      <c r="AX12" s="671">
        <f>+AO12+AU12+BA12+AI12+AC12+W12+Q12+K12+E12</f>
        <v>0</v>
      </c>
      <c r="AY12" s="669" t="s">
        <v>429</v>
      </c>
      <c r="AZ12" s="677" t="s">
        <v>424</v>
      </c>
      <c r="BA12" s="675"/>
      <c r="BC12" s="671">
        <v>0</v>
      </c>
      <c r="BD12" s="671">
        <f t="shared" si="7"/>
        <v>0</v>
      </c>
      <c r="BE12" s="669" t="s">
        <v>429</v>
      </c>
      <c r="BF12" s="677" t="s">
        <v>424</v>
      </c>
      <c r="BG12" s="675"/>
      <c r="BI12" s="671">
        <v>0</v>
      </c>
      <c r="BJ12" s="671">
        <f>+BA12+BG12+BM12+AU12+AO12+AI12+AC12+W12+Q12+K12+E12</f>
        <v>0</v>
      </c>
      <c r="BK12" s="669" t="s">
        <v>429</v>
      </c>
      <c r="BL12" s="677" t="s">
        <v>424</v>
      </c>
      <c r="BM12" s="675"/>
      <c r="BO12" s="671">
        <v>0</v>
      </c>
      <c r="BP12" s="680">
        <f t="shared" si="8"/>
        <v>0</v>
      </c>
      <c r="BQ12" s="669" t="s">
        <v>429</v>
      </c>
      <c r="BR12" s="677" t="s">
        <v>424</v>
      </c>
      <c r="BS12" s="675"/>
    </row>
    <row r="13" spans="1:71" ht="24.75" customHeight="1">
      <c r="A13" s="671">
        <v>230000</v>
      </c>
      <c r="B13" s="671">
        <f t="shared" si="0"/>
        <v>31720</v>
      </c>
      <c r="C13" s="669" t="s">
        <v>63</v>
      </c>
      <c r="D13" s="677" t="s">
        <v>432</v>
      </c>
      <c r="E13" s="675">
        <f>31700+20</f>
        <v>31720</v>
      </c>
      <c r="F13" s="681">
        <f>31700+20</f>
        <v>31720</v>
      </c>
      <c r="G13" s="671">
        <v>230000</v>
      </c>
      <c r="H13" s="671">
        <f t="shared" si="1"/>
        <v>31980</v>
      </c>
      <c r="I13" s="669" t="s">
        <v>63</v>
      </c>
      <c r="J13" s="677" t="s">
        <v>432</v>
      </c>
      <c r="K13" s="675">
        <v>260</v>
      </c>
      <c r="M13" s="671">
        <v>230000</v>
      </c>
      <c r="N13" s="671">
        <f t="shared" si="2"/>
        <v>43620</v>
      </c>
      <c r="O13" s="669" t="s">
        <v>63</v>
      </c>
      <c r="P13" s="677" t="s">
        <v>432</v>
      </c>
      <c r="Q13" s="675">
        <v>11640</v>
      </c>
      <c r="S13" s="671">
        <v>230000</v>
      </c>
      <c r="T13" s="671">
        <f t="shared" si="3"/>
        <v>43670</v>
      </c>
      <c r="U13" s="669" t="s">
        <v>63</v>
      </c>
      <c r="V13" s="677" t="s">
        <v>432</v>
      </c>
      <c r="W13" s="675">
        <v>50</v>
      </c>
      <c r="Y13" s="671">
        <v>230000</v>
      </c>
      <c r="Z13" s="671">
        <f t="shared" si="4"/>
        <v>71254</v>
      </c>
      <c r="AA13" s="669" t="s">
        <v>63</v>
      </c>
      <c r="AB13" s="677" t="s">
        <v>432</v>
      </c>
      <c r="AC13" s="675">
        <v>27584</v>
      </c>
      <c r="AE13" s="671">
        <v>230000</v>
      </c>
      <c r="AF13" s="671">
        <f t="shared" si="5"/>
        <v>71764</v>
      </c>
      <c r="AG13" s="669" t="s">
        <v>63</v>
      </c>
      <c r="AH13" s="677" t="s">
        <v>432</v>
      </c>
      <c r="AI13" s="675">
        <v>510</v>
      </c>
      <c r="AK13" s="671">
        <v>230000</v>
      </c>
      <c r="AL13" s="671">
        <f>+AC13+AI13+AO13+W13+Q13+K13+E13-50</f>
        <v>71914</v>
      </c>
      <c r="AM13" s="669" t="s">
        <v>63</v>
      </c>
      <c r="AN13" s="677" t="s">
        <v>432</v>
      </c>
      <c r="AO13" s="675">
        <v>200</v>
      </c>
      <c r="AQ13" s="671">
        <v>230000</v>
      </c>
      <c r="AR13" s="679">
        <f>+AI13+AO13+AU13+AC13+W13+Q13+K13-50+E13</f>
        <v>113294</v>
      </c>
      <c r="AS13" s="669" t="s">
        <v>63</v>
      </c>
      <c r="AT13" s="677" t="s">
        <v>432</v>
      </c>
      <c r="AU13" s="675">
        <v>41380</v>
      </c>
      <c r="AW13" s="671">
        <v>230000</v>
      </c>
      <c r="AX13" s="679">
        <f>+AO13+AU13+BA13+AI13+AC13+W13+Q13-50+K13+E13</f>
        <v>120444</v>
      </c>
      <c r="AY13" s="669" t="s">
        <v>63</v>
      </c>
      <c r="AZ13" s="677" t="s">
        <v>432</v>
      </c>
      <c r="BA13" s="675">
        <v>7150</v>
      </c>
      <c r="BC13" s="671">
        <v>230000</v>
      </c>
      <c r="BD13" s="679">
        <f>+AU13+BA13+BG13+AO13+AI13+AC13+W13+Q13+K13+E13-50</f>
        <v>152724</v>
      </c>
      <c r="BE13" s="669" t="s">
        <v>63</v>
      </c>
      <c r="BF13" s="677" t="s">
        <v>432</v>
      </c>
      <c r="BG13" s="675">
        <v>32280</v>
      </c>
      <c r="BI13" s="671">
        <v>230000</v>
      </c>
      <c r="BJ13" s="679">
        <f>+BA13+BG13+BM13+AU13+AO13+AI13+AC13+W13+Q13+K13+E13-50</f>
        <v>157844</v>
      </c>
      <c r="BK13" s="669" t="s">
        <v>63</v>
      </c>
      <c r="BL13" s="677" t="s">
        <v>432</v>
      </c>
      <c r="BM13" s="675">
        <v>5120</v>
      </c>
      <c r="BO13" s="671">
        <v>230000</v>
      </c>
      <c r="BP13" s="680">
        <f>+BG13+BM13+BS13+BA13+AU13+AO13+AI13+AC13+W13+Q13+K13+E13-50</f>
        <v>158044</v>
      </c>
      <c r="BQ13" s="669" t="s">
        <v>63</v>
      </c>
      <c r="BR13" s="677" t="s">
        <v>432</v>
      </c>
      <c r="BS13" s="675">
        <v>200</v>
      </c>
    </row>
    <row r="14" spans="1:71" ht="24.75" customHeight="1">
      <c r="A14" s="671">
        <v>10000</v>
      </c>
      <c r="B14" s="671">
        <f t="shared" si="0"/>
        <v>0</v>
      </c>
      <c r="C14" s="669" t="s">
        <v>988</v>
      </c>
      <c r="D14" s="677" t="s">
        <v>448</v>
      </c>
      <c r="E14" s="671"/>
      <c r="F14" s="678"/>
      <c r="G14" s="671">
        <v>10000</v>
      </c>
      <c r="H14" s="671">
        <f t="shared" si="1"/>
        <v>0</v>
      </c>
      <c r="I14" s="669" t="s">
        <v>988</v>
      </c>
      <c r="J14" s="677" t="s">
        <v>448</v>
      </c>
      <c r="K14" s="671"/>
      <c r="M14" s="671">
        <v>10000</v>
      </c>
      <c r="N14" s="671">
        <f t="shared" si="2"/>
        <v>0</v>
      </c>
      <c r="O14" s="669" t="s">
        <v>988</v>
      </c>
      <c r="P14" s="677" t="s">
        <v>448</v>
      </c>
      <c r="Q14" s="671"/>
      <c r="S14" s="671">
        <v>10000</v>
      </c>
      <c r="T14" s="671">
        <f t="shared" si="3"/>
        <v>0</v>
      </c>
      <c r="U14" s="669" t="s">
        <v>988</v>
      </c>
      <c r="V14" s="677" t="s">
        <v>448</v>
      </c>
      <c r="W14" s="671"/>
      <c r="Y14" s="671">
        <v>10000</v>
      </c>
      <c r="Z14" s="671">
        <f t="shared" si="4"/>
        <v>0</v>
      </c>
      <c r="AA14" s="669" t="s">
        <v>988</v>
      </c>
      <c r="AB14" s="677" t="s">
        <v>448</v>
      </c>
      <c r="AC14" s="671"/>
      <c r="AE14" s="671">
        <v>10000</v>
      </c>
      <c r="AF14" s="671">
        <f t="shared" si="5"/>
        <v>0</v>
      </c>
      <c r="AG14" s="669" t="s">
        <v>988</v>
      </c>
      <c r="AH14" s="677" t="s">
        <v>448</v>
      </c>
      <c r="AI14" s="671"/>
      <c r="AK14" s="671">
        <v>10000</v>
      </c>
      <c r="AL14" s="671">
        <f t="shared" si="6"/>
        <v>0</v>
      </c>
      <c r="AM14" s="669" t="s">
        <v>988</v>
      </c>
      <c r="AN14" s="677" t="s">
        <v>448</v>
      </c>
      <c r="AO14" s="671"/>
      <c r="AQ14" s="671">
        <v>10000</v>
      </c>
      <c r="AR14" s="671">
        <f>+AI14+AO14+AU14+AC14+W14+Q14+K14+E14</f>
        <v>0</v>
      </c>
      <c r="AS14" s="669" t="s">
        <v>988</v>
      </c>
      <c r="AT14" s="677" t="s">
        <v>448</v>
      </c>
      <c r="AU14" s="671"/>
      <c r="AW14" s="671">
        <v>10000</v>
      </c>
      <c r="AX14" s="671">
        <f>+AO14+AU14+BA14+AI14+AC14+W14+Q14+K14+E14</f>
        <v>0</v>
      </c>
      <c r="AY14" s="669" t="s">
        <v>988</v>
      </c>
      <c r="AZ14" s="677" t="s">
        <v>448</v>
      </c>
      <c r="BA14" s="671"/>
      <c r="BC14" s="671">
        <v>10000</v>
      </c>
      <c r="BD14" s="671">
        <f t="shared" si="7"/>
        <v>0</v>
      </c>
      <c r="BE14" s="669" t="s">
        <v>988</v>
      </c>
      <c r="BF14" s="677" t="s">
        <v>448</v>
      </c>
      <c r="BG14" s="671"/>
      <c r="BI14" s="671">
        <v>10000</v>
      </c>
      <c r="BJ14" s="671">
        <f aca="true" t="shared" si="9" ref="BJ14:BJ31">+BA14+BG14+BM14+AU14+AO14+AI14+AC14+W14+Q14+K14+E14</f>
        <v>0</v>
      </c>
      <c r="BK14" s="669" t="s">
        <v>988</v>
      </c>
      <c r="BL14" s="677" t="s">
        <v>448</v>
      </c>
      <c r="BM14" s="671"/>
      <c r="BO14" s="671">
        <v>10000</v>
      </c>
      <c r="BP14" s="680">
        <f t="shared" si="8"/>
        <v>0</v>
      </c>
      <c r="BQ14" s="669" t="s">
        <v>988</v>
      </c>
      <c r="BR14" s="677" t="s">
        <v>448</v>
      </c>
      <c r="BS14" s="671"/>
    </row>
    <row r="15" spans="1:71" ht="24.75" customHeight="1">
      <c r="A15" s="675">
        <v>18570000</v>
      </c>
      <c r="B15" s="671">
        <f t="shared" si="0"/>
        <v>1441741.87</v>
      </c>
      <c r="C15" s="669" t="s">
        <v>989</v>
      </c>
      <c r="D15" s="677" t="s">
        <v>453</v>
      </c>
      <c r="E15" s="675">
        <f>700614.76+189492.3+280775.12+270859.69</f>
        <v>1441741.87</v>
      </c>
      <c r="F15" s="682">
        <f>700614.76+189492.3+280775.12+270859.69</f>
        <v>1441741.87</v>
      </c>
      <c r="G15" s="675">
        <v>18570000</v>
      </c>
      <c r="H15" s="671">
        <f t="shared" si="1"/>
        <v>4440668.75</v>
      </c>
      <c r="I15" s="669" t="s">
        <v>989</v>
      </c>
      <c r="J15" s="677" t="s">
        <v>453</v>
      </c>
      <c r="K15" s="675">
        <v>2998926.88</v>
      </c>
      <c r="M15" s="675">
        <v>18570000</v>
      </c>
      <c r="N15" s="671">
        <f t="shared" si="2"/>
        <v>5225310.63</v>
      </c>
      <c r="O15" s="669" t="s">
        <v>989</v>
      </c>
      <c r="P15" s="677" t="s">
        <v>453</v>
      </c>
      <c r="Q15" s="675">
        <v>784641.8799999999</v>
      </c>
      <c r="S15" s="675">
        <v>18570000</v>
      </c>
      <c r="T15" s="671">
        <f t="shared" si="3"/>
        <v>7955488.87</v>
      </c>
      <c r="U15" s="669" t="s">
        <v>989</v>
      </c>
      <c r="V15" s="677" t="s">
        <v>453</v>
      </c>
      <c r="W15" s="675">
        <v>2730178.24</v>
      </c>
      <c r="Y15" s="675">
        <v>18570000</v>
      </c>
      <c r="Z15" s="671">
        <f t="shared" si="4"/>
        <v>9103794.780000001</v>
      </c>
      <c r="AA15" s="669" t="s">
        <v>989</v>
      </c>
      <c r="AB15" s="677" t="s">
        <v>453</v>
      </c>
      <c r="AC15" s="675">
        <v>1148305.91</v>
      </c>
      <c r="AE15" s="675">
        <v>18570000</v>
      </c>
      <c r="AF15" s="671">
        <f t="shared" si="5"/>
        <v>11533947.030000001</v>
      </c>
      <c r="AG15" s="669" t="s">
        <v>989</v>
      </c>
      <c r="AH15" s="677" t="s">
        <v>453</v>
      </c>
      <c r="AI15" s="675">
        <v>2430152.25</v>
      </c>
      <c r="AK15" s="675">
        <v>18570000</v>
      </c>
      <c r="AL15" s="671">
        <f t="shared" si="6"/>
        <v>12470909.46</v>
      </c>
      <c r="AM15" s="669" t="s">
        <v>989</v>
      </c>
      <c r="AN15" s="677" t="s">
        <v>453</v>
      </c>
      <c r="AO15" s="675">
        <v>936962.43</v>
      </c>
      <c r="AQ15" s="675">
        <v>18570000</v>
      </c>
      <c r="AR15" s="671">
        <f aca="true" t="shared" si="10" ref="AR15:AR33">+AI15+AO15+AU15+AC15+W15+Q15+K15+E15</f>
        <v>15485438.760000002</v>
      </c>
      <c r="AS15" s="669" t="s">
        <v>989</v>
      </c>
      <c r="AT15" s="677" t="s">
        <v>453</v>
      </c>
      <c r="AU15" s="675">
        <v>3014529.3</v>
      </c>
      <c r="AW15" s="675">
        <v>18570000</v>
      </c>
      <c r="AX15" s="671">
        <f>+AO15+AU15+BA15+AI15+AC15+W15+Q15+K15+E15</f>
        <v>18315540.3</v>
      </c>
      <c r="AY15" s="669" t="s">
        <v>989</v>
      </c>
      <c r="AZ15" s="677" t="s">
        <v>453</v>
      </c>
      <c r="BA15" s="675">
        <v>2830101.54</v>
      </c>
      <c r="BC15" s="675">
        <v>18570000</v>
      </c>
      <c r="BD15" s="671">
        <f t="shared" si="7"/>
        <v>19335273.46</v>
      </c>
      <c r="BE15" s="669" t="s">
        <v>989</v>
      </c>
      <c r="BF15" s="677" t="s">
        <v>453</v>
      </c>
      <c r="BG15" s="675">
        <v>1019733.16</v>
      </c>
      <c r="BI15" s="675">
        <v>18570000</v>
      </c>
      <c r="BJ15" s="671">
        <f t="shared" si="9"/>
        <v>22371244.88</v>
      </c>
      <c r="BK15" s="669" t="s">
        <v>989</v>
      </c>
      <c r="BL15" s="677" t="s">
        <v>453</v>
      </c>
      <c r="BM15" s="675">
        <v>3035971.42</v>
      </c>
      <c r="BO15" s="675">
        <v>18570000</v>
      </c>
      <c r="BP15" s="671">
        <f t="shared" si="8"/>
        <v>24252282.8</v>
      </c>
      <c r="BQ15" s="669" t="s">
        <v>989</v>
      </c>
      <c r="BR15" s="677" t="s">
        <v>453</v>
      </c>
      <c r="BS15" s="675">
        <v>1881037.92</v>
      </c>
    </row>
    <row r="16" spans="1:71" ht="24.75" customHeight="1">
      <c r="A16" s="675">
        <v>20000000</v>
      </c>
      <c r="B16" s="671">
        <f t="shared" si="0"/>
        <v>0</v>
      </c>
      <c r="C16" s="669" t="s">
        <v>66</v>
      </c>
      <c r="D16" s="677" t="s">
        <v>492</v>
      </c>
      <c r="E16" s="675"/>
      <c r="F16" s="681"/>
      <c r="G16" s="675">
        <v>20000000</v>
      </c>
      <c r="H16" s="671">
        <f t="shared" si="1"/>
        <v>1709490</v>
      </c>
      <c r="I16" s="669" t="s">
        <v>66</v>
      </c>
      <c r="J16" s="677" t="s">
        <v>492</v>
      </c>
      <c r="K16" s="675">
        <v>1709490</v>
      </c>
      <c r="M16" s="675">
        <v>20000000</v>
      </c>
      <c r="N16" s="671">
        <f t="shared" si="2"/>
        <v>9948097</v>
      </c>
      <c r="O16" s="669" t="s">
        <v>66</v>
      </c>
      <c r="P16" s="677" t="s">
        <v>492</v>
      </c>
      <c r="Q16" s="675">
        <v>8238607</v>
      </c>
      <c r="S16" s="675">
        <v>20000000</v>
      </c>
      <c r="T16" s="671">
        <f t="shared" si="3"/>
        <v>11706337</v>
      </c>
      <c r="U16" s="669" t="s">
        <v>66</v>
      </c>
      <c r="V16" s="677" t="s">
        <v>492</v>
      </c>
      <c r="W16" s="675">
        <v>1758240</v>
      </c>
      <c r="Y16" s="675">
        <v>20000000</v>
      </c>
      <c r="Z16" s="671">
        <f t="shared" si="4"/>
        <v>11706337</v>
      </c>
      <c r="AA16" s="669" t="s">
        <v>66</v>
      </c>
      <c r="AB16" s="677" t="s">
        <v>492</v>
      </c>
      <c r="AC16" s="675"/>
      <c r="AE16" s="675">
        <v>20000000</v>
      </c>
      <c r="AF16" s="671">
        <f t="shared" si="5"/>
        <v>16343813</v>
      </c>
      <c r="AG16" s="669" t="s">
        <v>66</v>
      </c>
      <c r="AH16" s="677" t="s">
        <v>492</v>
      </c>
      <c r="AI16" s="675">
        <v>4637476</v>
      </c>
      <c r="AK16" s="675">
        <v>20000000</v>
      </c>
      <c r="AL16" s="671">
        <f t="shared" si="6"/>
        <v>18026303</v>
      </c>
      <c r="AM16" s="669" t="s">
        <v>66</v>
      </c>
      <c r="AN16" s="677" t="s">
        <v>492</v>
      </c>
      <c r="AO16" s="675">
        <v>1682490</v>
      </c>
      <c r="AQ16" s="675">
        <v>20000000</v>
      </c>
      <c r="AR16" s="671">
        <f t="shared" si="10"/>
        <v>18026303</v>
      </c>
      <c r="AS16" s="669" t="s">
        <v>66</v>
      </c>
      <c r="AT16" s="677" t="s">
        <v>492</v>
      </c>
      <c r="AU16" s="675"/>
      <c r="AW16" s="675">
        <v>20000000</v>
      </c>
      <c r="AX16" s="671">
        <f aca="true" t="shared" si="11" ref="AX16:AX25">+AO16+AU16+BA16+AI16+AC16+W16+Q16+K16+E16</f>
        <v>18026303</v>
      </c>
      <c r="AY16" s="669" t="s">
        <v>66</v>
      </c>
      <c r="AZ16" s="677" t="s">
        <v>492</v>
      </c>
      <c r="BA16" s="675"/>
      <c r="BC16" s="675">
        <v>20000000</v>
      </c>
      <c r="BD16" s="671">
        <f t="shared" si="7"/>
        <v>19709593</v>
      </c>
      <c r="BE16" s="669" t="s">
        <v>66</v>
      </c>
      <c r="BF16" s="677" t="s">
        <v>492</v>
      </c>
      <c r="BG16" s="675">
        <v>1683290</v>
      </c>
      <c r="BI16" s="675">
        <v>20000000</v>
      </c>
      <c r="BJ16" s="671">
        <f t="shared" si="9"/>
        <v>19709593</v>
      </c>
      <c r="BK16" s="669" t="s">
        <v>66</v>
      </c>
      <c r="BL16" s="677" t="s">
        <v>492</v>
      </c>
      <c r="BM16" s="675"/>
      <c r="BO16" s="675">
        <v>20000000</v>
      </c>
      <c r="BP16" s="671">
        <f t="shared" si="8"/>
        <v>19709593</v>
      </c>
      <c r="BQ16" s="669" t="s">
        <v>66</v>
      </c>
      <c r="BR16" s="677" t="s">
        <v>492</v>
      </c>
      <c r="BS16" s="675"/>
    </row>
    <row r="17" spans="1:72" ht="24.75" customHeight="1">
      <c r="A17" s="675"/>
      <c r="B17" s="671">
        <f t="shared" si="0"/>
        <v>1143155</v>
      </c>
      <c r="C17" s="669" t="s">
        <v>990</v>
      </c>
      <c r="D17" s="677"/>
      <c r="E17" s="675">
        <v>1143155</v>
      </c>
      <c r="F17" s="681">
        <v>1143155</v>
      </c>
      <c r="G17" s="675"/>
      <c r="H17" s="671">
        <f t="shared" si="1"/>
        <v>1143155</v>
      </c>
      <c r="I17" s="669" t="s">
        <v>990</v>
      </c>
      <c r="J17" s="677"/>
      <c r="K17" s="675"/>
      <c r="M17" s="675"/>
      <c r="N17" s="671">
        <f t="shared" si="2"/>
        <v>1143155</v>
      </c>
      <c r="O17" s="669" t="s">
        <v>990</v>
      </c>
      <c r="P17" s="677"/>
      <c r="Q17" s="675"/>
      <c r="S17" s="675"/>
      <c r="T17" s="671">
        <f t="shared" si="3"/>
        <v>1143155</v>
      </c>
      <c r="U17" s="669" t="s">
        <v>990</v>
      </c>
      <c r="V17" s="677"/>
      <c r="W17" s="675"/>
      <c r="Y17" s="675"/>
      <c r="Z17" s="671">
        <f t="shared" si="4"/>
        <v>1143155</v>
      </c>
      <c r="AA17" s="669" t="s">
        <v>990</v>
      </c>
      <c r="AB17" s="677"/>
      <c r="AC17" s="675"/>
      <c r="AE17" s="675"/>
      <c r="AF17" s="671">
        <f t="shared" si="5"/>
        <v>4081575</v>
      </c>
      <c r="AG17" s="669" t="s">
        <v>990</v>
      </c>
      <c r="AH17" s="677"/>
      <c r="AI17" s="675">
        <v>2938420</v>
      </c>
      <c r="AK17" s="675"/>
      <c r="AL17" s="671">
        <f t="shared" si="6"/>
        <v>5180663</v>
      </c>
      <c r="AM17" s="669" t="s">
        <v>990</v>
      </c>
      <c r="AN17" s="677"/>
      <c r="AO17" s="675">
        <f>1996588-897500</f>
        <v>1099088</v>
      </c>
      <c r="AQ17" s="675"/>
      <c r="AR17" s="671">
        <f t="shared" si="10"/>
        <v>6542563</v>
      </c>
      <c r="AS17" s="669" t="s">
        <v>990</v>
      </c>
      <c r="AT17" s="677"/>
      <c r="AU17" s="675">
        <f>252800+1109100</f>
        <v>1361900</v>
      </c>
      <c r="AW17" s="675"/>
      <c r="AX17" s="671">
        <f t="shared" si="11"/>
        <v>6542563</v>
      </c>
      <c r="AY17" s="669" t="s">
        <v>990</v>
      </c>
      <c r="AZ17" s="677"/>
      <c r="BA17" s="675"/>
      <c r="BC17" s="675"/>
      <c r="BD17" s="671">
        <f t="shared" si="7"/>
        <v>6542563</v>
      </c>
      <c r="BE17" s="669" t="s">
        <v>990</v>
      </c>
      <c r="BF17" s="677"/>
      <c r="BG17" s="675"/>
      <c r="BI17" s="675"/>
      <c r="BJ17" s="671">
        <f t="shared" si="9"/>
        <v>6542563</v>
      </c>
      <c r="BK17" s="669" t="s">
        <v>990</v>
      </c>
      <c r="BL17" s="677"/>
      <c r="BM17" s="675"/>
      <c r="BO17" s="675"/>
      <c r="BP17" s="671">
        <f t="shared" si="8"/>
        <v>6848253</v>
      </c>
      <c r="BQ17" s="669" t="s">
        <v>990</v>
      </c>
      <c r="BR17" s="677"/>
      <c r="BS17" s="675">
        <v>305690</v>
      </c>
      <c r="BT17" s="675">
        <v>305690</v>
      </c>
    </row>
    <row r="18" spans="1:72" ht="24.75" customHeight="1">
      <c r="A18" s="675"/>
      <c r="B18" s="671">
        <f t="shared" si="0"/>
        <v>0</v>
      </c>
      <c r="C18" s="669" t="s">
        <v>991</v>
      </c>
      <c r="D18" s="677" t="s">
        <v>502</v>
      </c>
      <c r="E18" s="675"/>
      <c r="F18" s="681"/>
      <c r="G18" s="675"/>
      <c r="H18" s="671">
        <f t="shared" si="1"/>
        <v>4696920</v>
      </c>
      <c r="I18" s="669" t="s">
        <v>991</v>
      </c>
      <c r="J18" s="677" t="s">
        <v>502</v>
      </c>
      <c r="K18" s="675">
        <v>4696920</v>
      </c>
      <c r="M18" s="675"/>
      <c r="N18" s="671">
        <f t="shared" si="2"/>
        <v>4696920</v>
      </c>
      <c r="O18" s="669" t="s">
        <v>991</v>
      </c>
      <c r="P18" s="677" t="s">
        <v>502</v>
      </c>
      <c r="Q18" s="675"/>
      <c r="S18" s="675"/>
      <c r="T18" s="671">
        <f t="shared" si="3"/>
        <v>7452320</v>
      </c>
      <c r="U18" s="669" t="s">
        <v>991</v>
      </c>
      <c r="V18" s="677" t="s">
        <v>502</v>
      </c>
      <c r="W18" s="675">
        <v>2755400</v>
      </c>
      <c r="Y18" s="675"/>
      <c r="Z18" s="671">
        <f t="shared" si="4"/>
        <v>7831520</v>
      </c>
      <c r="AA18" s="669" t="s">
        <v>991</v>
      </c>
      <c r="AB18" s="677" t="s">
        <v>502</v>
      </c>
      <c r="AC18" s="675">
        <v>379200</v>
      </c>
      <c r="AE18" s="675"/>
      <c r="AF18" s="671">
        <f t="shared" si="5"/>
        <v>8331210</v>
      </c>
      <c r="AG18" s="669" t="s">
        <v>991</v>
      </c>
      <c r="AH18" s="677" t="s">
        <v>502</v>
      </c>
      <c r="AI18" s="675">
        <v>499690</v>
      </c>
      <c r="AK18" s="675"/>
      <c r="AL18" s="671">
        <f t="shared" si="6"/>
        <v>9228710</v>
      </c>
      <c r="AM18" s="669" t="s">
        <v>991</v>
      </c>
      <c r="AN18" s="677" t="s">
        <v>502</v>
      </c>
      <c r="AO18" s="675">
        <v>897500</v>
      </c>
      <c r="AQ18" s="675"/>
      <c r="AR18" s="671">
        <f t="shared" si="10"/>
        <v>10126210</v>
      </c>
      <c r="AS18" s="669" t="s">
        <v>991</v>
      </c>
      <c r="AT18" s="677" t="s">
        <v>502</v>
      </c>
      <c r="AU18" s="675">
        <v>897500</v>
      </c>
      <c r="AW18" s="675"/>
      <c r="AX18" s="671">
        <f t="shared" si="11"/>
        <v>11280975.48</v>
      </c>
      <c r="AY18" s="669" t="s">
        <v>991</v>
      </c>
      <c r="AZ18" s="677" t="s">
        <v>502</v>
      </c>
      <c r="BA18" s="675">
        <v>1154765.48</v>
      </c>
      <c r="BC18" s="675"/>
      <c r="BD18" s="671">
        <f t="shared" si="7"/>
        <v>14344875.48</v>
      </c>
      <c r="BE18" s="669" t="s">
        <v>991</v>
      </c>
      <c r="BF18" s="677" t="s">
        <v>502</v>
      </c>
      <c r="BG18" s="675">
        <v>3063900</v>
      </c>
      <c r="BI18" s="675"/>
      <c r="BJ18" s="671">
        <f t="shared" si="9"/>
        <v>14552805.48</v>
      </c>
      <c r="BK18" s="669" t="s">
        <v>991</v>
      </c>
      <c r="BL18" s="677" t="s">
        <v>502</v>
      </c>
      <c r="BM18" s="675">
        <v>207930</v>
      </c>
      <c r="BO18" s="675"/>
      <c r="BP18" s="671">
        <f t="shared" si="8"/>
        <v>14566405.48</v>
      </c>
      <c r="BQ18" s="669" t="s">
        <v>991</v>
      </c>
      <c r="BR18" s="677" t="s">
        <v>502</v>
      </c>
      <c r="BS18" s="683">
        <v>13600</v>
      </c>
      <c r="BT18" s="651" t="s">
        <v>992</v>
      </c>
    </row>
    <row r="19" spans="1:71" ht="24.75" customHeight="1">
      <c r="A19" s="675"/>
      <c r="B19" s="671">
        <f t="shared" si="0"/>
        <v>0</v>
      </c>
      <c r="C19" s="669" t="s">
        <v>73</v>
      </c>
      <c r="D19" s="677"/>
      <c r="E19" s="675"/>
      <c r="F19" s="681"/>
      <c r="G19" s="675"/>
      <c r="H19" s="671">
        <f t="shared" si="1"/>
        <v>0</v>
      </c>
      <c r="I19" s="669" t="s">
        <v>73</v>
      </c>
      <c r="J19" s="677"/>
      <c r="K19" s="675"/>
      <c r="M19" s="675"/>
      <c r="N19" s="671">
        <f t="shared" si="2"/>
        <v>0</v>
      </c>
      <c r="O19" s="669" t="s">
        <v>73</v>
      </c>
      <c r="P19" s="677"/>
      <c r="Q19" s="675"/>
      <c r="S19" s="675"/>
      <c r="T19" s="671">
        <f t="shared" si="3"/>
        <v>0</v>
      </c>
      <c r="U19" s="669" t="s">
        <v>73</v>
      </c>
      <c r="V19" s="677"/>
      <c r="W19" s="675"/>
      <c r="Y19" s="675"/>
      <c r="Z19" s="671">
        <f t="shared" si="4"/>
        <v>0</v>
      </c>
      <c r="AA19" s="669" t="s">
        <v>73</v>
      </c>
      <c r="AB19" s="677"/>
      <c r="AC19" s="675"/>
      <c r="AE19" s="675"/>
      <c r="AF19" s="671">
        <f t="shared" si="5"/>
        <v>0</v>
      </c>
      <c r="AG19" s="669" t="s">
        <v>73</v>
      </c>
      <c r="AH19" s="677"/>
      <c r="AI19" s="675"/>
      <c r="AK19" s="675"/>
      <c r="AL19" s="671">
        <f t="shared" si="6"/>
        <v>0</v>
      </c>
      <c r="AM19" s="669" t="s">
        <v>73</v>
      </c>
      <c r="AN19" s="677"/>
      <c r="AO19" s="675"/>
      <c r="AQ19" s="675"/>
      <c r="AR19" s="671">
        <f t="shared" si="10"/>
        <v>0</v>
      </c>
      <c r="AS19" s="669" t="s">
        <v>73</v>
      </c>
      <c r="AT19" s="677"/>
      <c r="AU19" s="675"/>
      <c r="AW19" s="675"/>
      <c r="AX19" s="671">
        <f t="shared" si="11"/>
        <v>0</v>
      </c>
      <c r="AY19" s="669" t="s">
        <v>73</v>
      </c>
      <c r="AZ19" s="677"/>
      <c r="BA19" s="675"/>
      <c r="BC19" s="675"/>
      <c r="BD19" s="671">
        <f t="shared" si="7"/>
        <v>0</v>
      </c>
      <c r="BE19" s="669" t="s">
        <v>73</v>
      </c>
      <c r="BF19" s="677"/>
      <c r="BG19" s="675"/>
      <c r="BI19" s="675"/>
      <c r="BJ19" s="671">
        <f t="shared" si="9"/>
        <v>0</v>
      </c>
      <c r="BK19" s="669" t="s">
        <v>73</v>
      </c>
      <c r="BL19" s="677"/>
      <c r="BM19" s="675"/>
      <c r="BO19" s="675"/>
      <c r="BP19" s="671">
        <f t="shared" si="8"/>
        <v>0</v>
      </c>
      <c r="BQ19" s="669" t="s">
        <v>73</v>
      </c>
      <c r="BR19" s="677"/>
      <c r="BS19" s="675"/>
    </row>
    <row r="20" spans="1:71" ht="24.75" customHeight="1">
      <c r="A20" s="675"/>
      <c r="B20" s="671">
        <f t="shared" si="0"/>
        <v>0</v>
      </c>
      <c r="C20" s="669" t="s">
        <v>169</v>
      </c>
      <c r="D20" s="677"/>
      <c r="E20" s="675"/>
      <c r="F20" s="681"/>
      <c r="G20" s="675"/>
      <c r="H20" s="671">
        <f t="shared" si="1"/>
        <v>0</v>
      </c>
      <c r="I20" s="669" t="s">
        <v>169</v>
      </c>
      <c r="J20" s="677"/>
      <c r="K20" s="675"/>
      <c r="M20" s="675"/>
      <c r="N20" s="671">
        <f t="shared" si="2"/>
        <v>0</v>
      </c>
      <c r="O20" s="669" t="s">
        <v>169</v>
      </c>
      <c r="P20" s="677"/>
      <c r="Q20" s="675"/>
      <c r="S20" s="675"/>
      <c r="T20" s="671">
        <f t="shared" si="3"/>
        <v>0</v>
      </c>
      <c r="U20" s="669" t="s">
        <v>169</v>
      </c>
      <c r="V20" s="677"/>
      <c r="W20" s="675"/>
      <c r="Y20" s="675"/>
      <c r="Z20" s="671">
        <f t="shared" si="4"/>
        <v>0</v>
      </c>
      <c r="AA20" s="669" t="s">
        <v>169</v>
      </c>
      <c r="AB20" s="677"/>
      <c r="AC20" s="675"/>
      <c r="AE20" s="675"/>
      <c r="AF20" s="671">
        <f t="shared" si="5"/>
        <v>0</v>
      </c>
      <c r="AG20" s="669" t="s">
        <v>169</v>
      </c>
      <c r="AH20" s="677"/>
      <c r="AI20" s="675"/>
      <c r="AK20" s="675"/>
      <c r="AL20" s="671">
        <f t="shared" si="6"/>
        <v>0</v>
      </c>
      <c r="AM20" s="669" t="s">
        <v>169</v>
      </c>
      <c r="AN20" s="677"/>
      <c r="AO20" s="675"/>
      <c r="AQ20" s="675"/>
      <c r="AR20" s="671">
        <f t="shared" si="10"/>
        <v>0</v>
      </c>
      <c r="AS20" s="669" t="s">
        <v>169</v>
      </c>
      <c r="AT20" s="677"/>
      <c r="AU20" s="675"/>
      <c r="AW20" s="675"/>
      <c r="AX20" s="671">
        <f t="shared" si="11"/>
        <v>0</v>
      </c>
      <c r="AY20" s="669" t="s">
        <v>169</v>
      </c>
      <c r="AZ20" s="677"/>
      <c r="BA20" s="675"/>
      <c r="BC20" s="675"/>
      <c r="BD20" s="671">
        <f t="shared" si="7"/>
        <v>0</v>
      </c>
      <c r="BE20" s="669" t="s">
        <v>169</v>
      </c>
      <c r="BF20" s="677"/>
      <c r="BG20" s="675"/>
      <c r="BI20" s="675"/>
      <c r="BJ20" s="671">
        <f t="shared" si="9"/>
        <v>0</v>
      </c>
      <c r="BK20" s="669" t="s">
        <v>169</v>
      </c>
      <c r="BL20" s="677"/>
      <c r="BM20" s="675"/>
      <c r="BO20" s="675"/>
      <c r="BP20" s="671">
        <f t="shared" si="8"/>
        <v>0</v>
      </c>
      <c r="BQ20" s="669" t="s">
        <v>169</v>
      </c>
      <c r="BR20" s="677"/>
      <c r="BS20" s="684"/>
    </row>
    <row r="21" spans="1:71" ht="24.75" customHeight="1">
      <c r="A21" s="675"/>
      <c r="B21" s="671">
        <f t="shared" si="0"/>
        <v>24303.45</v>
      </c>
      <c r="C21" s="669" t="s">
        <v>993</v>
      </c>
      <c r="D21" s="677"/>
      <c r="E21" s="675">
        <v>24303.45</v>
      </c>
      <c r="F21" s="681" t="s">
        <v>994</v>
      </c>
      <c r="G21" s="675"/>
      <c r="H21" s="671">
        <f t="shared" si="1"/>
        <v>46593.46</v>
      </c>
      <c r="I21" s="669" t="s">
        <v>993</v>
      </c>
      <c r="J21" s="677"/>
      <c r="K21" s="675">
        <v>22290.01</v>
      </c>
      <c r="M21" s="675"/>
      <c r="N21" s="671">
        <f t="shared" si="2"/>
        <v>173284.8</v>
      </c>
      <c r="O21" s="669" t="s">
        <v>993</v>
      </c>
      <c r="P21" s="677"/>
      <c r="Q21" s="675">
        <v>126691.34</v>
      </c>
      <c r="S21" s="675"/>
      <c r="T21" s="671">
        <f t="shared" si="3"/>
        <v>283589.44</v>
      </c>
      <c r="U21" s="669" t="s">
        <v>993</v>
      </c>
      <c r="V21" s="677"/>
      <c r="W21" s="675">
        <v>110304.64</v>
      </c>
      <c r="Y21" s="675"/>
      <c r="Z21" s="671">
        <f t="shared" si="4"/>
        <v>346889.86</v>
      </c>
      <c r="AA21" s="669" t="s">
        <v>993</v>
      </c>
      <c r="AB21" s="677"/>
      <c r="AC21" s="675">
        <v>63300.42</v>
      </c>
      <c r="AE21" s="675"/>
      <c r="AF21" s="671">
        <f t="shared" si="5"/>
        <v>412819.59</v>
      </c>
      <c r="AG21" s="669" t="s">
        <v>993</v>
      </c>
      <c r="AH21" s="677"/>
      <c r="AI21" s="675">
        <v>65929.73</v>
      </c>
      <c r="AK21" s="675"/>
      <c r="AL21" s="671">
        <f t="shared" si="6"/>
        <v>549991.3099999999</v>
      </c>
      <c r="AM21" s="669" t="s">
        <v>993</v>
      </c>
      <c r="AN21" s="677"/>
      <c r="AO21" s="675">
        <v>137171.72</v>
      </c>
      <c r="AQ21" s="675"/>
      <c r="AR21" s="671">
        <f t="shared" si="10"/>
        <v>689294.6699999999</v>
      </c>
      <c r="AS21" s="669" t="s">
        <v>993</v>
      </c>
      <c r="AT21" s="677"/>
      <c r="AU21" s="675">
        <v>139303.36</v>
      </c>
      <c r="AW21" s="675"/>
      <c r="AX21" s="671">
        <f t="shared" si="11"/>
        <v>792127.5499999998</v>
      </c>
      <c r="AY21" s="669" t="s">
        <v>993</v>
      </c>
      <c r="AZ21" s="677"/>
      <c r="BA21" s="675">
        <v>102832.88</v>
      </c>
      <c r="BC21" s="675"/>
      <c r="BD21" s="671">
        <f t="shared" si="7"/>
        <v>972614.11</v>
      </c>
      <c r="BE21" s="669" t="s">
        <v>993</v>
      </c>
      <c r="BF21" s="677"/>
      <c r="BG21" s="675">
        <v>180486.56</v>
      </c>
      <c r="BI21" s="675"/>
      <c r="BJ21" s="671">
        <f t="shared" si="9"/>
        <v>1065875.29</v>
      </c>
      <c r="BK21" s="669" t="s">
        <v>993</v>
      </c>
      <c r="BL21" s="677"/>
      <c r="BM21" s="675">
        <v>93261.18</v>
      </c>
      <c r="BO21" s="675"/>
      <c r="BP21" s="671">
        <f t="shared" si="8"/>
        <v>1148316.17</v>
      </c>
      <c r="BQ21" s="669" t="s">
        <v>993</v>
      </c>
      <c r="BR21" s="677"/>
      <c r="BS21" s="683">
        <f>20790.4+34487.48+27163</f>
        <v>82440.88</v>
      </c>
    </row>
    <row r="22" spans="1:71" ht="24.75" customHeight="1">
      <c r="A22" s="675"/>
      <c r="B22" s="671">
        <f t="shared" si="0"/>
        <v>0</v>
      </c>
      <c r="C22" s="669" t="s">
        <v>110</v>
      </c>
      <c r="D22" s="677"/>
      <c r="E22" s="675"/>
      <c r="F22" s="681"/>
      <c r="G22" s="675"/>
      <c r="H22" s="671">
        <f t="shared" si="1"/>
        <v>438</v>
      </c>
      <c r="I22" s="669" t="s">
        <v>110</v>
      </c>
      <c r="J22" s="677"/>
      <c r="K22" s="683">
        <v>438</v>
      </c>
      <c r="M22" s="675"/>
      <c r="N22" s="671">
        <f t="shared" si="2"/>
        <v>438</v>
      </c>
      <c r="O22" s="669" t="s">
        <v>110</v>
      </c>
      <c r="P22" s="677"/>
      <c r="Q22" s="683"/>
      <c r="S22" s="675"/>
      <c r="T22" s="671">
        <f t="shared" si="3"/>
        <v>438</v>
      </c>
      <c r="U22" s="669" t="s">
        <v>110</v>
      </c>
      <c r="V22" s="677"/>
      <c r="W22" s="683"/>
      <c r="Y22" s="675"/>
      <c r="Z22" s="671">
        <f t="shared" si="4"/>
        <v>438</v>
      </c>
      <c r="AA22" s="669" t="s">
        <v>110</v>
      </c>
      <c r="AB22" s="677"/>
      <c r="AC22" s="683"/>
      <c r="AE22" s="675"/>
      <c r="AF22" s="671">
        <f t="shared" si="5"/>
        <v>438</v>
      </c>
      <c r="AG22" s="669" t="s">
        <v>110</v>
      </c>
      <c r="AH22" s="677"/>
      <c r="AI22" s="683"/>
      <c r="AK22" s="675"/>
      <c r="AL22" s="671">
        <f t="shared" si="6"/>
        <v>6279.17</v>
      </c>
      <c r="AM22" s="669" t="s">
        <v>110</v>
      </c>
      <c r="AN22" s="677"/>
      <c r="AO22" s="683">
        <v>5841.17</v>
      </c>
      <c r="AQ22" s="675"/>
      <c r="AR22" s="671">
        <f t="shared" si="10"/>
        <v>9354.17</v>
      </c>
      <c r="AS22" s="669" t="s">
        <v>110</v>
      </c>
      <c r="AT22" s="677"/>
      <c r="AU22" s="683">
        <v>3075</v>
      </c>
      <c r="AW22" s="675"/>
      <c r="AX22" s="671">
        <f t="shared" si="11"/>
        <v>9354.17</v>
      </c>
      <c r="AY22" s="669" t="s">
        <v>110</v>
      </c>
      <c r="AZ22" s="677"/>
      <c r="BA22" s="683"/>
      <c r="BC22" s="675"/>
      <c r="BD22" s="671">
        <f t="shared" si="7"/>
        <v>9354.17</v>
      </c>
      <c r="BE22" s="669" t="s">
        <v>110</v>
      </c>
      <c r="BF22" s="677"/>
      <c r="BG22" s="683"/>
      <c r="BI22" s="675"/>
      <c r="BJ22" s="671">
        <f t="shared" si="9"/>
        <v>9354.17</v>
      </c>
      <c r="BK22" s="669" t="s">
        <v>110</v>
      </c>
      <c r="BL22" s="677"/>
      <c r="BM22" s="683"/>
      <c r="BO22" s="675"/>
      <c r="BP22" s="671">
        <f t="shared" si="8"/>
        <v>10966.310000000001</v>
      </c>
      <c r="BQ22" s="669" t="s">
        <v>110</v>
      </c>
      <c r="BR22" s="677"/>
      <c r="BS22" s="683">
        <f>1612.14</f>
        <v>1612.14</v>
      </c>
    </row>
    <row r="23" spans="1:71" ht="24.75" customHeight="1">
      <c r="A23" s="675"/>
      <c r="B23" s="671"/>
      <c r="C23" s="669"/>
      <c r="D23" s="677"/>
      <c r="E23" s="675"/>
      <c r="F23" s="681"/>
      <c r="G23" s="675"/>
      <c r="H23" s="671">
        <f t="shared" si="1"/>
        <v>7000</v>
      </c>
      <c r="I23" s="669" t="s">
        <v>995</v>
      </c>
      <c r="J23" s="677"/>
      <c r="K23" s="683">
        <v>7000</v>
      </c>
      <c r="M23" s="675"/>
      <c r="N23" s="671">
        <f t="shared" si="2"/>
        <v>7000</v>
      </c>
      <c r="O23" s="669" t="s">
        <v>995</v>
      </c>
      <c r="P23" s="677"/>
      <c r="Q23" s="683"/>
      <c r="S23" s="675"/>
      <c r="T23" s="671">
        <f t="shared" si="3"/>
        <v>7000</v>
      </c>
      <c r="U23" s="669" t="s">
        <v>995</v>
      </c>
      <c r="V23" s="677"/>
      <c r="W23" s="683"/>
      <c r="Y23" s="675"/>
      <c r="Z23" s="671">
        <f t="shared" si="4"/>
        <v>7000</v>
      </c>
      <c r="AA23" s="669" t="s">
        <v>995</v>
      </c>
      <c r="AB23" s="677"/>
      <c r="AC23" s="683"/>
      <c r="AE23" s="675"/>
      <c r="AF23" s="671">
        <f t="shared" si="5"/>
        <v>7000</v>
      </c>
      <c r="AG23" s="669" t="s">
        <v>995</v>
      </c>
      <c r="AH23" s="677"/>
      <c r="AI23" s="683"/>
      <c r="AK23" s="675"/>
      <c r="AL23" s="671">
        <f t="shared" si="6"/>
        <v>43850</v>
      </c>
      <c r="AM23" s="669" t="s">
        <v>995</v>
      </c>
      <c r="AN23" s="677"/>
      <c r="AO23" s="683">
        <v>36850</v>
      </c>
      <c r="AQ23" s="675"/>
      <c r="AR23" s="671">
        <f t="shared" si="10"/>
        <v>65106</v>
      </c>
      <c r="AS23" s="669" t="s">
        <v>995</v>
      </c>
      <c r="AT23" s="677"/>
      <c r="AU23" s="683">
        <v>21256</v>
      </c>
      <c r="AW23" s="675"/>
      <c r="AX23" s="671">
        <f t="shared" si="11"/>
        <v>65106</v>
      </c>
      <c r="AY23" s="669" t="s">
        <v>995</v>
      </c>
      <c r="AZ23" s="677"/>
      <c r="BA23" s="683"/>
      <c r="BC23" s="675"/>
      <c r="BD23" s="671">
        <f t="shared" si="7"/>
        <v>65106</v>
      </c>
      <c r="BE23" s="669" t="s">
        <v>995</v>
      </c>
      <c r="BF23" s="677"/>
      <c r="BG23" s="683"/>
      <c r="BI23" s="675"/>
      <c r="BJ23" s="671">
        <f t="shared" si="9"/>
        <v>65106</v>
      </c>
      <c r="BK23" s="669" t="s">
        <v>995</v>
      </c>
      <c r="BL23" s="677"/>
      <c r="BM23" s="683"/>
      <c r="BO23" s="675"/>
      <c r="BP23" s="671">
        <f t="shared" si="8"/>
        <v>65106</v>
      </c>
      <c r="BQ23" s="669" t="s">
        <v>995</v>
      </c>
      <c r="BR23" s="677"/>
      <c r="BS23" s="683"/>
    </row>
    <row r="24" spans="1:71" ht="24.75" customHeight="1">
      <c r="A24" s="675"/>
      <c r="B24" s="671">
        <f t="shared" si="0"/>
        <v>0</v>
      </c>
      <c r="C24" s="669" t="s">
        <v>107</v>
      </c>
      <c r="D24" s="677"/>
      <c r="E24" s="675"/>
      <c r="F24" s="681"/>
      <c r="G24" s="675"/>
      <c r="H24" s="671">
        <f t="shared" si="1"/>
        <v>0</v>
      </c>
      <c r="I24" s="669" t="s">
        <v>107</v>
      </c>
      <c r="J24" s="677"/>
      <c r="K24" s="675"/>
      <c r="M24" s="675"/>
      <c r="N24" s="671">
        <f t="shared" si="2"/>
        <v>0</v>
      </c>
      <c r="O24" s="669" t="s">
        <v>107</v>
      </c>
      <c r="P24" s="677"/>
      <c r="Q24" s="675"/>
      <c r="S24" s="675"/>
      <c r="T24" s="671">
        <f t="shared" si="3"/>
        <v>518.02</v>
      </c>
      <c r="U24" s="669" t="s">
        <v>107</v>
      </c>
      <c r="V24" s="677"/>
      <c r="W24" s="675">
        <v>518.02</v>
      </c>
      <c r="Y24" s="675"/>
      <c r="Z24" s="671">
        <f t="shared" si="4"/>
        <v>4268.02</v>
      </c>
      <c r="AA24" s="669" t="s">
        <v>107</v>
      </c>
      <c r="AB24" s="677"/>
      <c r="AC24" s="675">
        <v>3750</v>
      </c>
      <c r="AE24" s="675"/>
      <c r="AF24" s="671">
        <f t="shared" si="5"/>
        <v>8768.02</v>
      </c>
      <c r="AG24" s="669" t="s">
        <v>107</v>
      </c>
      <c r="AH24" s="677"/>
      <c r="AI24" s="675">
        <v>4500</v>
      </c>
      <c r="AK24" s="675"/>
      <c r="AL24" s="671">
        <f t="shared" si="6"/>
        <v>8768.02</v>
      </c>
      <c r="AM24" s="669" t="s">
        <v>107</v>
      </c>
      <c r="AN24" s="677"/>
      <c r="AO24" s="675"/>
      <c r="AQ24" s="675"/>
      <c r="AR24" s="671">
        <f t="shared" si="10"/>
        <v>8768.02</v>
      </c>
      <c r="AS24" s="669" t="s">
        <v>107</v>
      </c>
      <c r="AT24" s="677"/>
      <c r="AU24" s="675"/>
      <c r="AW24" s="675"/>
      <c r="AX24" s="671">
        <f t="shared" si="11"/>
        <v>8768.02</v>
      </c>
      <c r="AY24" s="669" t="s">
        <v>107</v>
      </c>
      <c r="AZ24" s="677"/>
      <c r="BA24" s="675"/>
      <c r="BC24" s="675"/>
      <c r="BD24" s="671">
        <f t="shared" si="7"/>
        <v>8768.02</v>
      </c>
      <c r="BE24" s="669" t="s">
        <v>107</v>
      </c>
      <c r="BF24" s="677"/>
      <c r="BG24" s="675"/>
      <c r="BI24" s="675"/>
      <c r="BJ24" s="671">
        <f t="shared" si="9"/>
        <v>8768.02</v>
      </c>
      <c r="BK24" s="669" t="s">
        <v>107</v>
      </c>
      <c r="BL24" s="677"/>
      <c r="BM24" s="675"/>
      <c r="BO24" s="675"/>
      <c r="BP24" s="671">
        <f t="shared" si="8"/>
        <v>18068.02</v>
      </c>
      <c r="BQ24" s="669" t="s">
        <v>107</v>
      </c>
      <c r="BR24" s="677"/>
      <c r="BS24" s="683">
        <v>9300</v>
      </c>
    </row>
    <row r="25" spans="1:71" ht="24.75" customHeight="1">
      <c r="A25" s="675"/>
      <c r="B25" s="671">
        <f t="shared" si="0"/>
        <v>0</v>
      </c>
      <c r="C25" s="669" t="s">
        <v>996</v>
      </c>
      <c r="D25" s="677"/>
      <c r="E25" s="675"/>
      <c r="F25" s="681"/>
      <c r="G25" s="675"/>
      <c r="H25" s="671">
        <f t="shared" si="1"/>
        <v>194.75</v>
      </c>
      <c r="I25" s="669" t="s">
        <v>996</v>
      </c>
      <c r="J25" s="677"/>
      <c r="K25" s="675">
        <v>194.75</v>
      </c>
      <c r="M25" s="675"/>
      <c r="N25" s="671">
        <f t="shared" si="2"/>
        <v>209</v>
      </c>
      <c r="O25" s="669" t="s">
        <v>996</v>
      </c>
      <c r="P25" s="677"/>
      <c r="Q25" s="675">
        <v>14.25</v>
      </c>
      <c r="S25" s="675"/>
      <c r="T25" s="671">
        <f t="shared" si="3"/>
        <v>390.45</v>
      </c>
      <c r="U25" s="669" t="s">
        <v>996</v>
      </c>
      <c r="V25" s="677"/>
      <c r="W25" s="675">
        <v>181.45</v>
      </c>
      <c r="Y25" s="675"/>
      <c r="Z25" s="671">
        <f t="shared" si="4"/>
        <v>411.35</v>
      </c>
      <c r="AA25" s="669" t="s">
        <v>996</v>
      </c>
      <c r="AB25" s="677"/>
      <c r="AC25" s="675">
        <v>20.9</v>
      </c>
      <c r="AE25" s="675"/>
      <c r="AF25" s="671">
        <f t="shared" si="5"/>
        <v>411.35</v>
      </c>
      <c r="AG25" s="669" t="s">
        <v>996</v>
      </c>
      <c r="AH25" s="677"/>
      <c r="AI25" s="675"/>
      <c r="AK25" s="675"/>
      <c r="AL25" s="671">
        <f t="shared" si="6"/>
        <v>698.25</v>
      </c>
      <c r="AM25" s="669" t="s">
        <v>996</v>
      </c>
      <c r="AN25" s="677"/>
      <c r="AO25" s="675">
        <v>286.9</v>
      </c>
      <c r="AQ25" s="675"/>
      <c r="AR25" s="671">
        <f t="shared" si="10"/>
        <v>6130.349999999999</v>
      </c>
      <c r="AS25" s="669" t="s">
        <v>996</v>
      </c>
      <c r="AT25" s="677"/>
      <c r="AU25" s="675">
        <v>5432.1</v>
      </c>
      <c r="AW25" s="675"/>
      <c r="AX25" s="671">
        <f t="shared" si="11"/>
        <v>7316.9</v>
      </c>
      <c r="AY25" s="669" t="s">
        <v>996</v>
      </c>
      <c r="AZ25" s="677"/>
      <c r="BA25" s="675">
        <v>1186.55</v>
      </c>
      <c r="BC25" s="675"/>
      <c r="BD25" s="671">
        <f t="shared" si="7"/>
        <v>12899.1</v>
      </c>
      <c r="BE25" s="669" t="s">
        <v>996</v>
      </c>
      <c r="BF25" s="677"/>
      <c r="BG25" s="675">
        <v>5582.2</v>
      </c>
      <c r="BI25" s="675"/>
      <c r="BJ25" s="671">
        <f t="shared" si="9"/>
        <v>13374.1</v>
      </c>
      <c r="BK25" s="669" t="s">
        <v>996</v>
      </c>
      <c r="BL25" s="677"/>
      <c r="BM25" s="675">
        <v>475</v>
      </c>
      <c r="BO25" s="675"/>
      <c r="BP25" s="680">
        <f t="shared" si="8"/>
        <v>20316.7</v>
      </c>
      <c r="BQ25" s="669" t="s">
        <v>996</v>
      </c>
      <c r="BR25" s="677"/>
      <c r="BS25" s="683">
        <v>6942.6</v>
      </c>
    </row>
    <row r="26" spans="1:72" ht="24.75" customHeight="1">
      <c r="A26" s="675"/>
      <c r="B26" s="671">
        <f t="shared" si="0"/>
        <v>4000</v>
      </c>
      <c r="C26" s="669" t="s">
        <v>997</v>
      </c>
      <c r="D26" s="677"/>
      <c r="E26" s="675">
        <v>4000</v>
      </c>
      <c r="F26" s="681"/>
      <c r="G26" s="675"/>
      <c r="H26" s="671">
        <f t="shared" si="1"/>
        <v>70816</v>
      </c>
      <c r="I26" s="669" t="s">
        <v>997</v>
      </c>
      <c r="J26" s="677"/>
      <c r="K26" s="675">
        <v>66816</v>
      </c>
      <c r="M26" s="675"/>
      <c r="N26" s="671">
        <f t="shared" si="2"/>
        <v>96446</v>
      </c>
      <c r="O26" s="669" t="s">
        <v>997</v>
      </c>
      <c r="P26" s="677"/>
      <c r="Q26" s="675">
        <v>25630</v>
      </c>
      <c r="S26" s="675"/>
      <c r="T26" s="671">
        <f t="shared" si="3"/>
        <v>161046</v>
      </c>
      <c r="U26" s="669" t="s">
        <v>997</v>
      </c>
      <c r="V26" s="677"/>
      <c r="W26" s="675">
        <v>64600</v>
      </c>
      <c r="Y26" s="675"/>
      <c r="Z26" s="685">
        <f>+Q26+W26+AC26+K26+E26+1440</f>
        <v>194806</v>
      </c>
      <c r="AA26" s="669" t="s">
        <v>997</v>
      </c>
      <c r="AB26" s="677"/>
      <c r="AC26" s="675">
        <v>32320</v>
      </c>
      <c r="AE26" s="675"/>
      <c r="AF26" s="685">
        <f>+W26+AC26+AI26+Q26+K26+1440+B26</f>
        <v>281496</v>
      </c>
      <c r="AG26" s="669" t="s">
        <v>997</v>
      </c>
      <c r="AH26" s="677"/>
      <c r="AI26" s="675">
        <v>86690</v>
      </c>
      <c r="AK26" s="675"/>
      <c r="AL26" s="685">
        <f>+AC26+AI26+AO26+W26+Q26+1440+H26</f>
        <v>391590</v>
      </c>
      <c r="AM26" s="669" t="s">
        <v>997</v>
      </c>
      <c r="AN26" s="677"/>
      <c r="AO26" s="675">
        <v>110094</v>
      </c>
      <c r="AQ26" s="675"/>
      <c r="AR26" s="685">
        <f>+AI26+AO26+AU26+AC26+W26+1440+N26</f>
        <v>463356</v>
      </c>
      <c r="AS26" s="669" t="s">
        <v>997</v>
      </c>
      <c r="AT26" s="677"/>
      <c r="AU26" s="675">
        <v>71766</v>
      </c>
      <c r="AW26" s="675"/>
      <c r="AX26" s="685">
        <f>+AO26+AU26+BA26+AI26+AC26+1440+T26</f>
        <v>505306</v>
      </c>
      <c r="AY26" s="669" t="s">
        <v>997</v>
      </c>
      <c r="AZ26" s="677"/>
      <c r="BA26" s="675">
        <v>41950</v>
      </c>
      <c r="BC26" s="675"/>
      <c r="BD26" s="679">
        <f>+AU26+BA26+BG26+AO26+AI26+AC26+W26+Q26+K26+E26+1440</f>
        <v>633036</v>
      </c>
      <c r="BE26" s="669" t="s">
        <v>997</v>
      </c>
      <c r="BF26" s="677"/>
      <c r="BG26" s="675">
        <v>127730</v>
      </c>
      <c r="BI26" s="675"/>
      <c r="BJ26" s="679">
        <f>+BA26+BG26+BM26+AU26+AO26+AI26+AC26+W26+Q26+K26+E26+1440</f>
        <v>726576</v>
      </c>
      <c r="BK26" s="669" t="s">
        <v>997</v>
      </c>
      <c r="BL26" s="677"/>
      <c r="BM26" s="675">
        <v>93540</v>
      </c>
      <c r="BO26" s="675"/>
      <c r="BP26" s="680">
        <f>+BG26+BM26+BS26+BA26+AU26+AO26+AI26+AC26+W26+Q26+K26+E26+1440</f>
        <v>726576</v>
      </c>
      <c r="BQ26" s="669" t="s">
        <v>997</v>
      </c>
      <c r="BR26" s="677"/>
      <c r="BS26" s="683"/>
      <c r="BT26" s="686">
        <v>167060</v>
      </c>
    </row>
    <row r="27" spans="1:71" ht="24.75" customHeight="1">
      <c r="A27" s="675"/>
      <c r="B27" s="671">
        <f t="shared" si="0"/>
        <v>0</v>
      </c>
      <c r="C27" s="669" t="s">
        <v>86</v>
      </c>
      <c r="D27" s="677"/>
      <c r="E27" s="675"/>
      <c r="F27" s="681"/>
      <c r="G27" s="675"/>
      <c r="H27" s="671">
        <f t="shared" si="1"/>
        <v>0</v>
      </c>
      <c r="I27" s="669" t="s">
        <v>86</v>
      </c>
      <c r="J27" s="677"/>
      <c r="K27" s="675"/>
      <c r="M27" s="675"/>
      <c r="N27" s="671">
        <f t="shared" si="2"/>
        <v>0</v>
      </c>
      <c r="O27" s="669" t="s">
        <v>86</v>
      </c>
      <c r="P27" s="677"/>
      <c r="Q27" s="675"/>
      <c r="S27" s="675"/>
      <c r="T27" s="671">
        <f t="shared" si="3"/>
        <v>0</v>
      </c>
      <c r="U27" s="669" t="s">
        <v>86</v>
      </c>
      <c r="V27" s="677"/>
      <c r="W27" s="675"/>
      <c r="Y27" s="675"/>
      <c r="Z27" s="671">
        <f t="shared" si="4"/>
        <v>0</v>
      </c>
      <c r="AA27" s="669" t="s">
        <v>86</v>
      </c>
      <c r="AB27" s="677"/>
      <c r="AC27" s="675"/>
      <c r="AE27" s="675"/>
      <c r="AF27" s="671">
        <f>+W27+AC27+AI27+Q27+K27</f>
        <v>0</v>
      </c>
      <c r="AG27" s="669" t="s">
        <v>86</v>
      </c>
      <c r="AH27" s="677"/>
      <c r="AI27" s="675"/>
      <c r="AK27" s="675"/>
      <c r="AL27" s="671">
        <f t="shared" si="6"/>
        <v>0</v>
      </c>
      <c r="AM27" s="669" t="s">
        <v>86</v>
      </c>
      <c r="AN27" s="677"/>
      <c r="AO27" s="675"/>
      <c r="AQ27" s="675"/>
      <c r="AR27" s="671">
        <f t="shared" si="10"/>
        <v>0</v>
      </c>
      <c r="AS27" s="669" t="s">
        <v>86</v>
      </c>
      <c r="AT27" s="677"/>
      <c r="AU27" s="675"/>
      <c r="AW27" s="675"/>
      <c r="AX27" s="671">
        <f>+AO27+AU27+BA27+AI27+AC27+W27+Q27+K27+E27</f>
        <v>0</v>
      </c>
      <c r="AY27" s="669" t="s">
        <v>86</v>
      </c>
      <c r="AZ27" s="677"/>
      <c r="BA27" s="675"/>
      <c r="BC27" s="675"/>
      <c r="BD27" s="671">
        <f>+AU27+BA27+BG27+AO27+AI27+AC27+W27+Q27+K27</f>
        <v>0</v>
      </c>
      <c r="BE27" s="669" t="s">
        <v>86</v>
      </c>
      <c r="BF27" s="677"/>
      <c r="BG27" s="675"/>
      <c r="BI27" s="675"/>
      <c r="BJ27" s="671">
        <f t="shared" si="9"/>
        <v>0</v>
      </c>
      <c r="BK27" s="669" t="s">
        <v>86</v>
      </c>
      <c r="BL27" s="677"/>
      <c r="BM27" s="675"/>
      <c r="BO27" s="675"/>
      <c r="BP27" s="671">
        <f t="shared" si="8"/>
        <v>0</v>
      </c>
      <c r="BQ27" s="669" t="s">
        <v>86</v>
      </c>
      <c r="BR27" s="677"/>
      <c r="BS27" s="683"/>
    </row>
    <row r="28" spans="1:72" ht="24.75" customHeight="1">
      <c r="A28" s="675"/>
      <c r="B28" s="671">
        <f t="shared" si="0"/>
        <v>0</v>
      </c>
      <c r="C28" s="669" t="s">
        <v>998</v>
      </c>
      <c r="D28" s="677"/>
      <c r="E28" s="675"/>
      <c r="F28" s="681"/>
      <c r="G28" s="675"/>
      <c r="H28" s="671">
        <f t="shared" si="1"/>
        <v>11500</v>
      </c>
      <c r="I28" s="669" t="s">
        <v>998</v>
      </c>
      <c r="J28" s="677"/>
      <c r="K28" s="675">
        <v>11500</v>
      </c>
      <c r="M28" s="675"/>
      <c r="N28" s="671">
        <f t="shared" si="2"/>
        <v>16900</v>
      </c>
      <c r="O28" s="669" t="s">
        <v>998</v>
      </c>
      <c r="P28" s="677"/>
      <c r="Q28" s="675">
        <v>5400</v>
      </c>
      <c r="S28" s="675"/>
      <c r="T28" s="671">
        <f t="shared" si="3"/>
        <v>1057325</v>
      </c>
      <c r="U28" s="669" t="s">
        <v>998</v>
      </c>
      <c r="V28" s="677"/>
      <c r="W28" s="687">
        <v>1040425</v>
      </c>
      <c r="Y28" s="675"/>
      <c r="Z28" s="685">
        <f>4425625+287700</f>
        <v>4713325</v>
      </c>
      <c r="AA28" s="669" t="s">
        <v>998</v>
      </c>
      <c r="AB28" s="677"/>
      <c r="AC28" s="683">
        <v>287700</v>
      </c>
      <c r="AE28" s="675"/>
      <c r="AF28" s="685">
        <f>4425625+AC28+AI28</f>
        <v>7147925</v>
      </c>
      <c r="AG28" s="669" t="s">
        <v>998</v>
      </c>
      <c r="AH28" s="677"/>
      <c r="AI28" s="683">
        <v>2434600</v>
      </c>
      <c r="AK28" s="675"/>
      <c r="AL28" s="685">
        <f>4425625+AI28+AO28+287700</f>
        <v>7425755</v>
      </c>
      <c r="AM28" s="669" t="s">
        <v>998</v>
      </c>
      <c r="AN28" s="677"/>
      <c r="AO28" s="683">
        <v>277830</v>
      </c>
      <c r="AQ28" s="675"/>
      <c r="AR28" s="685">
        <f>4425625+AO28+AU28+287700+AI28</f>
        <v>8278824</v>
      </c>
      <c r="AS28" s="669" t="s">
        <v>998</v>
      </c>
      <c r="AT28" s="677"/>
      <c r="AU28" s="683">
        <v>853069</v>
      </c>
      <c r="AW28" s="675"/>
      <c r="AX28" s="685">
        <f>4425625+AU28+BA28+287700+AO28+E28+AI28</f>
        <v>8278824</v>
      </c>
      <c r="AY28" s="669" t="s">
        <v>998</v>
      </c>
      <c r="AZ28" s="677"/>
      <c r="BA28" s="683"/>
      <c r="BC28" s="675"/>
      <c r="BD28" s="671">
        <v>8278824</v>
      </c>
      <c r="BE28" s="669" t="s">
        <v>998</v>
      </c>
      <c r="BF28" s="677"/>
      <c r="BG28" s="683"/>
      <c r="BI28" s="675"/>
      <c r="BJ28" s="671">
        <v>8278824</v>
      </c>
      <c r="BK28" s="669" t="s">
        <v>998</v>
      </c>
      <c r="BL28" s="677"/>
      <c r="BM28" s="683"/>
      <c r="BO28" s="675"/>
      <c r="BP28" s="671">
        <v>8278824</v>
      </c>
      <c r="BQ28" s="669" t="s">
        <v>998</v>
      </c>
      <c r="BR28" s="677"/>
      <c r="BS28" s="683"/>
      <c r="BT28" s="683">
        <v>167970</v>
      </c>
    </row>
    <row r="29" spans="1:71" ht="24.75" customHeight="1">
      <c r="A29" s="671"/>
      <c r="B29" s="671">
        <f t="shared" si="0"/>
        <v>0</v>
      </c>
      <c r="C29" s="688" t="s">
        <v>999</v>
      </c>
      <c r="D29" s="677"/>
      <c r="E29" s="671"/>
      <c r="F29" s="678"/>
      <c r="G29" s="671"/>
      <c r="H29" s="671">
        <f t="shared" si="1"/>
        <v>0</v>
      </c>
      <c r="I29" s="688" t="s">
        <v>999</v>
      </c>
      <c r="J29" s="677"/>
      <c r="K29" s="671"/>
      <c r="M29" s="671"/>
      <c r="N29" s="671">
        <f t="shared" si="2"/>
        <v>0</v>
      </c>
      <c r="O29" s="688" t="s">
        <v>999</v>
      </c>
      <c r="P29" s="677"/>
      <c r="Q29" s="671"/>
      <c r="S29" s="671"/>
      <c r="T29" s="671">
        <f t="shared" si="3"/>
        <v>0</v>
      </c>
      <c r="U29" s="688" t="s">
        <v>999</v>
      </c>
      <c r="V29" s="677"/>
      <c r="W29" s="671"/>
      <c r="Y29" s="671"/>
      <c r="Z29" s="671">
        <f t="shared" si="4"/>
        <v>0</v>
      </c>
      <c r="AA29" s="688" t="s">
        <v>999</v>
      </c>
      <c r="AB29" s="677"/>
      <c r="AC29" s="671"/>
      <c r="AE29" s="671"/>
      <c r="AF29" s="671">
        <f>+W29+AC29+AI29+Q29+K29</f>
        <v>0</v>
      </c>
      <c r="AG29" s="688" t="s">
        <v>999</v>
      </c>
      <c r="AH29" s="677"/>
      <c r="AI29" s="671"/>
      <c r="AK29" s="671"/>
      <c r="AL29" s="671">
        <f t="shared" si="6"/>
        <v>0</v>
      </c>
      <c r="AM29" s="688" t="s">
        <v>999</v>
      </c>
      <c r="AN29" s="677"/>
      <c r="AO29" s="671"/>
      <c r="AQ29" s="671"/>
      <c r="AR29" s="671">
        <f t="shared" si="10"/>
        <v>0</v>
      </c>
      <c r="AS29" s="688" t="s">
        <v>999</v>
      </c>
      <c r="AT29" s="677"/>
      <c r="AU29" s="671"/>
      <c r="AW29" s="671"/>
      <c r="AX29" s="671">
        <f>+AO29+AU29+BA29+AI29+AC29+W29+Q29+K29+E29</f>
        <v>0</v>
      </c>
      <c r="AY29" s="688" t="s">
        <v>999</v>
      </c>
      <c r="AZ29" s="677"/>
      <c r="BA29" s="671"/>
      <c r="BC29" s="671"/>
      <c r="BD29" s="671">
        <f t="shared" si="7"/>
        <v>0</v>
      </c>
      <c r="BE29" s="688" t="s">
        <v>999</v>
      </c>
      <c r="BF29" s="677"/>
      <c r="BG29" s="671"/>
      <c r="BI29" s="671"/>
      <c r="BJ29" s="671">
        <f t="shared" si="9"/>
        <v>0</v>
      </c>
      <c r="BK29" s="688" t="s">
        <v>999</v>
      </c>
      <c r="BL29" s="677"/>
      <c r="BM29" s="671"/>
      <c r="BO29" s="671"/>
      <c r="BP29" s="671">
        <f t="shared" si="8"/>
        <v>0</v>
      </c>
      <c r="BQ29" s="688" t="s">
        <v>999</v>
      </c>
      <c r="BR29" s="677"/>
      <c r="BS29" s="680"/>
    </row>
    <row r="30" spans="1:71" ht="24.75" customHeight="1">
      <c r="A30" s="671"/>
      <c r="B30" s="671"/>
      <c r="C30" s="688"/>
      <c r="D30" s="677"/>
      <c r="E30" s="671"/>
      <c r="F30" s="678"/>
      <c r="G30" s="671"/>
      <c r="H30" s="671"/>
      <c r="I30" s="688"/>
      <c r="J30" s="677"/>
      <c r="K30" s="671"/>
      <c r="M30" s="671"/>
      <c r="N30" s="671">
        <f t="shared" si="2"/>
        <v>259300</v>
      </c>
      <c r="O30" s="688" t="s">
        <v>111</v>
      </c>
      <c r="P30" s="677"/>
      <c r="Q30" s="671">
        <v>259300</v>
      </c>
      <c r="S30" s="671"/>
      <c r="T30" s="671">
        <f t="shared" si="3"/>
        <v>259300</v>
      </c>
      <c r="U30" s="688" t="s">
        <v>111</v>
      </c>
      <c r="V30" s="677"/>
      <c r="W30" s="671"/>
      <c r="Y30" s="671"/>
      <c r="Z30" s="671">
        <f t="shared" si="4"/>
        <v>259300</v>
      </c>
      <c r="AA30" s="688" t="s">
        <v>111</v>
      </c>
      <c r="AB30" s="677"/>
      <c r="AC30" s="671"/>
      <c r="AE30" s="671"/>
      <c r="AF30" s="671">
        <f>+W30+AC30+AI30+Q30+K30+E30</f>
        <v>259300</v>
      </c>
      <c r="AG30" s="688" t="s">
        <v>111</v>
      </c>
      <c r="AH30" s="677"/>
      <c r="AI30" s="671"/>
      <c r="AK30" s="671"/>
      <c r="AL30" s="671">
        <f t="shared" si="6"/>
        <v>259300</v>
      </c>
      <c r="AM30" s="688" t="s">
        <v>111</v>
      </c>
      <c r="AN30" s="677"/>
      <c r="AO30" s="671"/>
      <c r="AQ30" s="671"/>
      <c r="AR30" s="671">
        <f t="shared" si="10"/>
        <v>259300</v>
      </c>
      <c r="AS30" s="688" t="s">
        <v>111</v>
      </c>
      <c r="AT30" s="677"/>
      <c r="AU30" s="671"/>
      <c r="AW30" s="671"/>
      <c r="AX30" s="671">
        <f>+AO30+AU30+BA30+AI30+AC30+W30+Q30+K30+E30</f>
        <v>259300</v>
      </c>
      <c r="AY30" s="688" t="s">
        <v>111</v>
      </c>
      <c r="AZ30" s="677"/>
      <c r="BA30" s="671"/>
      <c r="BC30" s="671"/>
      <c r="BD30" s="671">
        <f t="shared" si="7"/>
        <v>259300</v>
      </c>
      <c r="BE30" s="688" t="s">
        <v>111</v>
      </c>
      <c r="BF30" s="677"/>
      <c r="BG30" s="671"/>
      <c r="BI30" s="671"/>
      <c r="BJ30" s="671">
        <f t="shared" si="9"/>
        <v>259300</v>
      </c>
      <c r="BK30" s="688" t="s">
        <v>111</v>
      </c>
      <c r="BL30" s="677"/>
      <c r="BM30" s="671"/>
      <c r="BO30" s="671"/>
      <c r="BP30" s="671">
        <f t="shared" si="8"/>
        <v>259300</v>
      </c>
      <c r="BQ30" s="688" t="s">
        <v>111</v>
      </c>
      <c r="BR30" s="677"/>
      <c r="BS30" s="671"/>
    </row>
    <row r="31" spans="1:72" ht="24.75" customHeight="1">
      <c r="A31" s="671"/>
      <c r="B31" s="671"/>
      <c r="C31" s="688"/>
      <c r="D31" s="677"/>
      <c r="E31" s="671"/>
      <c r="F31" s="678"/>
      <c r="G31" s="671"/>
      <c r="H31" s="671"/>
      <c r="I31" s="688"/>
      <c r="J31" s="677"/>
      <c r="K31" s="671"/>
      <c r="M31" s="671"/>
      <c r="N31" s="671">
        <f t="shared" si="2"/>
        <v>23337</v>
      </c>
      <c r="O31" s="688" t="s">
        <v>1000</v>
      </c>
      <c r="P31" s="677"/>
      <c r="Q31" s="671">
        <v>23337</v>
      </c>
      <c r="S31" s="671"/>
      <c r="T31" s="671">
        <f t="shared" si="3"/>
        <v>23337</v>
      </c>
      <c r="U31" s="688" t="s">
        <v>1000</v>
      </c>
      <c r="V31" s="677"/>
      <c r="W31" s="671"/>
      <c r="Y31" s="671"/>
      <c r="Z31" s="671">
        <f t="shared" si="4"/>
        <v>23337</v>
      </c>
      <c r="AA31" s="688" t="s">
        <v>1000</v>
      </c>
      <c r="AB31" s="677"/>
      <c r="AC31" s="671"/>
      <c r="AE31" s="671"/>
      <c r="AF31" s="671">
        <f>+W31+AC31+AI31+Q31+K31+E31</f>
        <v>23337</v>
      </c>
      <c r="AG31" s="688" t="s">
        <v>1000</v>
      </c>
      <c r="AH31" s="677"/>
      <c r="AI31" s="671"/>
      <c r="AK31" s="671"/>
      <c r="AL31" s="671">
        <f t="shared" si="6"/>
        <v>23337</v>
      </c>
      <c r="AM31" s="688" t="s">
        <v>1000</v>
      </c>
      <c r="AN31" s="677"/>
      <c r="AO31" s="671"/>
      <c r="AQ31" s="671"/>
      <c r="AR31" s="671">
        <f t="shared" si="10"/>
        <v>23337</v>
      </c>
      <c r="AS31" s="688" t="s">
        <v>1000</v>
      </c>
      <c r="AT31" s="677"/>
      <c r="AU31" s="671"/>
      <c r="AW31" s="671"/>
      <c r="AX31" s="671">
        <f>+AO31+AU31+BA31+AI31+AC31+W31+Q31+K31+E31</f>
        <v>23337</v>
      </c>
      <c r="AY31" s="688" t="s">
        <v>1000</v>
      </c>
      <c r="AZ31" s="677"/>
      <c r="BA31" s="671"/>
      <c r="BC31" s="671"/>
      <c r="BD31" s="671">
        <f t="shared" si="7"/>
        <v>23337</v>
      </c>
      <c r="BE31" s="688" t="s">
        <v>1000</v>
      </c>
      <c r="BF31" s="677"/>
      <c r="BG31" s="671"/>
      <c r="BI31" s="671"/>
      <c r="BJ31" s="671">
        <f t="shared" si="9"/>
        <v>23337</v>
      </c>
      <c r="BK31" s="688" t="s">
        <v>1000</v>
      </c>
      <c r="BL31" s="677"/>
      <c r="BM31" s="671"/>
      <c r="BO31" s="671"/>
      <c r="BP31" s="671">
        <f t="shared" si="8"/>
        <v>23337</v>
      </c>
      <c r="BQ31" s="688" t="s">
        <v>1000</v>
      </c>
      <c r="BR31" s="677"/>
      <c r="BS31" s="671"/>
      <c r="BT31" s="671"/>
    </row>
    <row r="32" spans="1:71" ht="24.75" customHeight="1" hidden="1">
      <c r="A32" s="671"/>
      <c r="B32" s="671"/>
      <c r="C32" s="688"/>
      <c r="D32" s="677"/>
      <c r="E32" s="671"/>
      <c r="F32" s="678"/>
      <c r="G32" s="671"/>
      <c r="H32" s="671"/>
      <c r="I32" s="688"/>
      <c r="J32" s="677"/>
      <c r="K32" s="671"/>
      <c r="M32" s="671"/>
      <c r="N32" s="671"/>
      <c r="O32" s="688"/>
      <c r="P32" s="677"/>
      <c r="Q32" s="671"/>
      <c r="S32" s="671"/>
      <c r="T32" s="671">
        <f t="shared" si="3"/>
        <v>0</v>
      </c>
      <c r="U32" s="688" t="s">
        <v>913</v>
      </c>
      <c r="V32" s="677"/>
      <c r="W32" s="671"/>
      <c r="Y32" s="671"/>
      <c r="Z32" s="671">
        <f t="shared" si="4"/>
        <v>0</v>
      </c>
      <c r="AA32" s="688" t="s">
        <v>913</v>
      </c>
      <c r="AB32" s="677"/>
      <c r="AC32" s="671"/>
      <c r="AE32" s="671"/>
      <c r="AF32" s="671">
        <f>+W32+AC32+AI32+Q32+K32</f>
        <v>0</v>
      </c>
      <c r="AG32" s="688" t="s">
        <v>913</v>
      </c>
      <c r="AH32" s="677"/>
      <c r="AI32" s="671"/>
      <c r="AK32" s="671"/>
      <c r="AL32" s="671">
        <f t="shared" si="6"/>
        <v>0</v>
      </c>
      <c r="AM32" s="688" t="s">
        <v>913</v>
      </c>
      <c r="AN32" s="677"/>
      <c r="AO32" s="671"/>
      <c r="AQ32" s="671"/>
      <c r="AR32" s="671">
        <f t="shared" si="10"/>
        <v>0</v>
      </c>
      <c r="AS32" s="688" t="s">
        <v>913</v>
      </c>
      <c r="AT32" s="677"/>
      <c r="AU32" s="671"/>
      <c r="AW32" s="671"/>
      <c r="AX32" s="671">
        <f>+AO32+AU32+BA32+AI32+AC32+W32+Q32+K32</f>
        <v>0</v>
      </c>
      <c r="AY32" s="688" t="s">
        <v>913</v>
      </c>
      <c r="AZ32" s="677"/>
      <c r="BA32" s="671"/>
      <c r="BC32" s="671"/>
      <c r="BD32" s="671">
        <f>+AU32+BA32+BG32+AO32+AI32+AC32+W32+Q32</f>
        <v>0</v>
      </c>
      <c r="BE32" s="688" t="s">
        <v>913</v>
      </c>
      <c r="BF32" s="677"/>
      <c r="BG32" s="671"/>
      <c r="BI32" s="671"/>
      <c r="BJ32" s="671">
        <f>+BA32+BG32+BM32+AU32+AO32+AI32+AC32+W32</f>
        <v>0</v>
      </c>
      <c r="BK32" s="688" t="s">
        <v>913</v>
      </c>
      <c r="BL32" s="677"/>
      <c r="BM32" s="671"/>
      <c r="BO32" s="671"/>
      <c r="BP32" s="671">
        <f t="shared" si="8"/>
        <v>0</v>
      </c>
      <c r="BQ32" s="688" t="s">
        <v>913</v>
      </c>
      <c r="BR32" s="677"/>
      <c r="BS32" s="671"/>
    </row>
    <row r="33" spans="1:71" ht="24.75" customHeight="1" hidden="1">
      <c r="A33" s="671"/>
      <c r="B33" s="671"/>
      <c r="C33" s="688"/>
      <c r="D33" s="677"/>
      <c r="E33" s="671"/>
      <c r="F33" s="678"/>
      <c r="G33" s="671"/>
      <c r="H33" s="671"/>
      <c r="I33" s="688"/>
      <c r="J33" s="677"/>
      <c r="K33" s="671"/>
      <c r="M33" s="671"/>
      <c r="N33" s="671"/>
      <c r="O33" s="688"/>
      <c r="P33" s="677"/>
      <c r="Q33" s="671"/>
      <c r="S33" s="671"/>
      <c r="T33" s="671"/>
      <c r="U33" s="688"/>
      <c r="V33" s="677"/>
      <c r="W33" s="671"/>
      <c r="Y33" s="671"/>
      <c r="Z33" s="671"/>
      <c r="AA33" s="688"/>
      <c r="AB33" s="677"/>
      <c r="AC33" s="671"/>
      <c r="AE33" s="671"/>
      <c r="AF33" s="671"/>
      <c r="AG33" s="688"/>
      <c r="AH33" s="677"/>
      <c r="AI33" s="671"/>
      <c r="AK33" s="671"/>
      <c r="AL33" s="671">
        <f t="shared" si="6"/>
        <v>0</v>
      </c>
      <c r="AM33" s="688"/>
      <c r="AN33" s="677"/>
      <c r="AO33" s="671"/>
      <c r="AQ33" s="671"/>
      <c r="AR33" s="671">
        <f t="shared" si="10"/>
        <v>0</v>
      </c>
      <c r="AS33" s="688"/>
      <c r="AT33" s="677"/>
      <c r="AU33" s="671"/>
      <c r="AW33" s="671"/>
      <c r="AX33" s="671">
        <f>+AO33+AU33+BA33+AI33+AC33+W33+Q33+K33</f>
        <v>0</v>
      </c>
      <c r="AY33" s="688"/>
      <c r="AZ33" s="677"/>
      <c r="BA33" s="671"/>
      <c r="BC33" s="671"/>
      <c r="BD33" s="671">
        <f>+AU33+BA33+BG33+AO33+AI33+AC33+W33+Q33</f>
        <v>0</v>
      </c>
      <c r="BE33" s="688"/>
      <c r="BF33" s="677"/>
      <c r="BG33" s="671"/>
      <c r="BI33" s="671"/>
      <c r="BJ33" s="671">
        <f>+BA33+BG33+BM33+AU33+AO33+AI33+AC33+W33</f>
        <v>0</v>
      </c>
      <c r="BK33" s="688"/>
      <c r="BL33" s="677"/>
      <c r="BM33" s="671"/>
      <c r="BO33" s="671"/>
      <c r="BP33" s="671">
        <f t="shared" si="8"/>
        <v>0</v>
      </c>
      <c r="BQ33" s="688"/>
      <c r="BR33" s="677"/>
      <c r="BS33" s="671"/>
    </row>
    <row r="34" spans="1:71" ht="24.75" customHeight="1">
      <c r="A34" s="671"/>
      <c r="B34" s="671"/>
      <c r="C34" s="688"/>
      <c r="D34" s="677"/>
      <c r="E34" s="671"/>
      <c r="F34" s="678"/>
      <c r="G34" s="671"/>
      <c r="H34" s="671"/>
      <c r="I34" s="688"/>
      <c r="J34" s="677"/>
      <c r="K34" s="671"/>
      <c r="M34" s="671"/>
      <c r="N34" s="671"/>
      <c r="O34" s="688"/>
      <c r="P34" s="677"/>
      <c r="Q34" s="671"/>
      <c r="S34" s="671"/>
      <c r="T34" s="671"/>
      <c r="U34" s="688"/>
      <c r="V34" s="677"/>
      <c r="W34" s="671"/>
      <c r="Y34" s="671"/>
      <c r="Z34" s="671"/>
      <c r="AA34" s="688"/>
      <c r="AB34" s="677"/>
      <c r="AC34" s="671"/>
      <c r="AE34" s="671"/>
      <c r="AF34" s="671"/>
      <c r="AG34" s="688"/>
      <c r="AH34" s="677"/>
      <c r="AI34" s="671"/>
      <c r="AK34" s="671"/>
      <c r="AL34" s="671"/>
      <c r="AM34" s="688"/>
      <c r="AN34" s="677"/>
      <c r="AO34" s="671"/>
      <c r="AQ34" s="671"/>
      <c r="AR34" s="671"/>
      <c r="AS34" s="688"/>
      <c r="AT34" s="677"/>
      <c r="AU34" s="671"/>
      <c r="AW34" s="671"/>
      <c r="AX34" s="671"/>
      <c r="AY34" s="688"/>
      <c r="AZ34" s="677"/>
      <c r="BA34" s="671"/>
      <c r="BC34" s="671"/>
      <c r="BD34" s="671"/>
      <c r="BE34" s="688"/>
      <c r="BF34" s="677"/>
      <c r="BG34" s="671"/>
      <c r="BI34" s="671"/>
      <c r="BJ34" s="671"/>
      <c r="BK34" s="688"/>
      <c r="BL34" s="677"/>
      <c r="BM34" s="671"/>
      <c r="BO34" s="671"/>
      <c r="BP34" s="671">
        <f t="shared" si="8"/>
        <v>715100</v>
      </c>
      <c r="BQ34" s="688" t="s">
        <v>1001</v>
      </c>
      <c r="BR34" s="677"/>
      <c r="BS34" s="680">
        <v>715100</v>
      </c>
    </row>
    <row r="35" spans="1:71" ht="24.75" customHeight="1" thickBot="1">
      <c r="A35" s="689">
        <f>SUM(A9:A16)</f>
        <v>40000000</v>
      </c>
      <c r="B35" s="689">
        <f>SUM(B9:B29)</f>
        <v>2681069.1700000004</v>
      </c>
      <c r="C35" s="669"/>
      <c r="D35" s="677"/>
      <c r="E35" s="689">
        <f>SUM(E7:E29)</f>
        <v>34526617.29000001</v>
      </c>
      <c r="F35" s="678"/>
      <c r="G35" s="689">
        <f>SUM(G9:G16)</f>
        <v>40000000</v>
      </c>
      <c r="H35" s="689">
        <f>SUM(H9:H29)</f>
        <v>12254184.57</v>
      </c>
      <c r="I35" s="669"/>
      <c r="J35" s="677"/>
      <c r="K35" s="689">
        <f>SUM(K9:K29)</f>
        <v>9573115.4</v>
      </c>
      <c r="M35" s="689">
        <f>SUM(M9:M16)</f>
        <v>40000000</v>
      </c>
      <c r="N35" s="689">
        <f>SUM(N9:N31)</f>
        <v>21763142.040000003</v>
      </c>
      <c r="O35" s="669"/>
      <c r="P35" s="677"/>
      <c r="Q35" s="689">
        <f>SUM(Q9:Q31)</f>
        <v>9508957.469999999</v>
      </c>
      <c r="S35" s="689">
        <f>SUM(S9:S16)</f>
        <v>40000000</v>
      </c>
      <c r="T35" s="689">
        <f>SUM(T9:T31)</f>
        <v>30317546.52</v>
      </c>
      <c r="U35" s="669"/>
      <c r="V35" s="677"/>
      <c r="W35" s="689">
        <f>SUM(W9:W32)</f>
        <v>8554404.48</v>
      </c>
      <c r="Y35" s="689">
        <f>SUM(Y9:Y16)</f>
        <v>40000000</v>
      </c>
      <c r="Z35" s="689">
        <f>SUM(Z9:Z31)</f>
        <v>35817485.35</v>
      </c>
      <c r="AA35" s="669"/>
      <c r="AB35" s="677"/>
      <c r="AC35" s="689">
        <f>SUM(AC9:AC33)</f>
        <v>2130198.83</v>
      </c>
      <c r="AE35" s="689">
        <f>SUM(AE9:AE16)</f>
        <v>40000000</v>
      </c>
      <c r="AF35" s="689">
        <f>SUM(AF9:AF31)</f>
        <v>49075945.27000001</v>
      </c>
      <c r="AG35" s="669"/>
      <c r="AH35" s="677"/>
      <c r="AI35" s="689">
        <f>SUM(AI9:AI33)</f>
        <v>13258459.92</v>
      </c>
      <c r="AK35" s="689">
        <f>SUM(AK9:AK16)</f>
        <v>40000000</v>
      </c>
      <c r="AL35" s="689">
        <f>SUM(AL9:AL31)</f>
        <v>54407619.48000001</v>
      </c>
      <c r="AM35" s="669"/>
      <c r="AN35" s="677"/>
      <c r="AO35" s="689">
        <f>SUM(AO9:AO33)</f>
        <v>5331674.21</v>
      </c>
      <c r="AQ35" s="689">
        <f>SUM(AQ9:AQ16)</f>
        <v>40000000</v>
      </c>
      <c r="AR35" s="689">
        <f>SUM(AR9:AR31)</f>
        <v>60893299.97000001</v>
      </c>
      <c r="AS35" s="669"/>
      <c r="AT35" s="677"/>
      <c r="AU35" s="689">
        <f>SUM(AU9:AU33)</f>
        <v>6485680.489999999</v>
      </c>
      <c r="AW35" s="689">
        <f>SUM(AW9:AW16)</f>
        <v>40000000</v>
      </c>
      <c r="AX35" s="689">
        <f>SUM(AX9:AX31)</f>
        <v>65107944.93000001</v>
      </c>
      <c r="AY35" s="669"/>
      <c r="AZ35" s="677"/>
      <c r="BA35" s="689">
        <f>SUM(BA9:BA33)</f>
        <v>4214644.959999999</v>
      </c>
      <c r="BC35" s="689">
        <f>SUM(BC9:BC16)</f>
        <v>40000000</v>
      </c>
      <c r="BD35" s="689">
        <f>SUM(BD9:BD31)</f>
        <v>71373353.51</v>
      </c>
      <c r="BE35" s="669"/>
      <c r="BF35" s="677"/>
      <c r="BG35" s="689">
        <f>SUM(BG9:BG33)</f>
        <v>6265408.58</v>
      </c>
      <c r="BI35" s="689">
        <f>SUM(BI9:BI16)</f>
        <v>40000000</v>
      </c>
      <c r="BJ35" s="689">
        <f>SUM(BJ9:BJ31)</f>
        <v>74847360.51000002</v>
      </c>
      <c r="BK35" s="669"/>
      <c r="BL35" s="677"/>
      <c r="BM35" s="689">
        <f>SUM(BM9:BM33)</f>
        <v>3474007</v>
      </c>
      <c r="BO35" s="689">
        <f>SUM(BO9:BO16)</f>
        <v>40000000</v>
      </c>
      <c r="BP35" s="689">
        <f>SUM(BP9:BP31)</f>
        <v>77269291.78</v>
      </c>
      <c r="BQ35" s="669"/>
      <c r="BR35" s="677"/>
      <c r="BS35" s="689">
        <f>SUM(BS9:BS34)</f>
        <v>3137031.27</v>
      </c>
    </row>
    <row r="36" spans="1:71" ht="24.75" customHeight="1" thickTop="1">
      <c r="A36" s="690"/>
      <c r="B36" s="691"/>
      <c r="C36" s="692"/>
      <c r="D36" s="693"/>
      <c r="E36" s="691"/>
      <c r="F36" s="678"/>
      <c r="G36" s="690"/>
      <c r="H36" s="691"/>
      <c r="I36" s="692"/>
      <c r="J36" s="693"/>
      <c r="K36" s="691"/>
      <c r="M36" s="690"/>
      <c r="N36" s="691"/>
      <c r="O36" s="692"/>
      <c r="P36" s="693"/>
      <c r="Q36" s="691"/>
      <c r="S36" s="690"/>
      <c r="T36" s="691"/>
      <c r="U36" s="692"/>
      <c r="V36" s="693"/>
      <c r="W36" s="691"/>
      <c r="Y36" s="690"/>
      <c r="Z36" s="691"/>
      <c r="AA36" s="692"/>
      <c r="AB36" s="693"/>
      <c r="AC36" s="691"/>
      <c r="AE36" s="690"/>
      <c r="AF36" s="691"/>
      <c r="AG36" s="692"/>
      <c r="AH36" s="693"/>
      <c r="AI36" s="691"/>
      <c r="AK36" s="690"/>
      <c r="AL36" s="691"/>
      <c r="AM36" s="692"/>
      <c r="AN36" s="693"/>
      <c r="AO36" s="691"/>
      <c r="AQ36" s="690"/>
      <c r="AR36" s="691"/>
      <c r="AS36" s="692"/>
      <c r="AT36" s="693"/>
      <c r="AU36" s="691"/>
      <c r="AW36" s="690"/>
      <c r="AX36" s="691"/>
      <c r="AY36" s="692"/>
      <c r="AZ36" s="693"/>
      <c r="BA36" s="691"/>
      <c r="BC36" s="690"/>
      <c r="BD36" s="691"/>
      <c r="BE36" s="692"/>
      <c r="BF36" s="693"/>
      <c r="BG36" s="691"/>
      <c r="BI36" s="690"/>
      <c r="BJ36" s="691"/>
      <c r="BK36" s="692"/>
      <c r="BL36" s="693"/>
      <c r="BM36" s="691"/>
      <c r="BO36" s="690"/>
      <c r="BP36" s="691"/>
      <c r="BQ36" s="692"/>
      <c r="BR36" s="693"/>
      <c r="BS36" s="691"/>
    </row>
    <row r="37" spans="1:71" ht="24.75" customHeight="1" thickBot="1">
      <c r="A37" s="688"/>
      <c r="B37" s="689">
        <f>+B35</f>
        <v>2681069.1700000004</v>
      </c>
      <c r="C37" s="694" t="s">
        <v>68</v>
      </c>
      <c r="D37" s="695"/>
      <c r="E37" s="689">
        <f>+E35</f>
        <v>34526617.29000001</v>
      </c>
      <c r="F37" s="678"/>
      <c r="G37" s="688"/>
      <c r="H37" s="689">
        <f>+H35</f>
        <v>12254184.57</v>
      </c>
      <c r="I37" s="694" t="s">
        <v>68</v>
      </c>
      <c r="J37" s="695"/>
      <c r="K37" s="689">
        <f>+K35+K7</f>
        <v>41067897.220000006</v>
      </c>
      <c r="M37" s="688"/>
      <c r="N37" s="689">
        <f>+N35</f>
        <v>21763142.040000003</v>
      </c>
      <c r="O37" s="694" t="s">
        <v>68</v>
      </c>
      <c r="P37" s="695"/>
      <c r="Q37" s="689">
        <f>+Q35+Q7</f>
        <v>45649227.85000001</v>
      </c>
      <c r="S37" s="688"/>
      <c r="T37" s="689">
        <f>+T35</f>
        <v>30317546.52</v>
      </c>
      <c r="U37" s="694" t="s">
        <v>68</v>
      </c>
      <c r="V37" s="695"/>
      <c r="W37" s="689">
        <f>+W35+W7</f>
        <v>50516126.58000001</v>
      </c>
      <c r="Y37" s="688"/>
      <c r="Z37" s="689">
        <f>+Z35</f>
        <v>35817485.35</v>
      </c>
      <c r="AA37" s="694" t="s">
        <v>68</v>
      </c>
      <c r="AB37" s="695"/>
      <c r="AC37" s="689">
        <f>+AC35+AC7</f>
        <v>47027190.70000001</v>
      </c>
      <c r="AE37" s="688"/>
      <c r="AF37" s="689">
        <f>+AF35</f>
        <v>49075945.27000001</v>
      </c>
      <c r="AG37" s="694" t="s">
        <v>68</v>
      </c>
      <c r="AH37" s="695"/>
      <c r="AI37" s="689">
        <f>+AI35+AI7</f>
        <v>53551037.58000001</v>
      </c>
      <c r="AK37" s="688"/>
      <c r="AL37" s="689">
        <f>+AL35</f>
        <v>54407619.48000001</v>
      </c>
      <c r="AM37" s="694" t="s">
        <v>68</v>
      </c>
      <c r="AN37" s="695"/>
      <c r="AO37" s="689">
        <f>+AO35+AO7</f>
        <v>51960655.60000002</v>
      </c>
      <c r="AQ37" s="688"/>
      <c r="AR37" s="689">
        <f>+AR35</f>
        <v>60893299.97000001</v>
      </c>
      <c r="AS37" s="694" t="s">
        <v>68</v>
      </c>
      <c r="AT37" s="695"/>
      <c r="AU37" s="689">
        <f>+AU35+AU7</f>
        <v>51059076.67000002</v>
      </c>
      <c r="AW37" s="688"/>
      <c r="AX37" s="689">
        <f>+AX35</f>
        <v>65107944.93000001</v>
      </c>
      <c r="AY37" s="694" t="s">
        <v>68</v>
      </c>
      <c r="AZ37" s="695"/>
      <c r="BA37" s="689">
        <f>+BA35+BA7</f>
        <v>48535162.51000001</v>
      </c>
      <c r="BC37" s="688"/>
      <c r="BD37" s="689">
        <f>+BD35</f>
        <v>71373353.51</v>
      </c>
      <c r="BE37" s="694" t="s">
        <v>68</v>
      </c>
      <c r="BF37" s="695"/>
      <c r="BG37" s="689">
        <f>+BG35+BG7</f>
        <v>48426103.44000001</v>
      </c>
      <c r="BI37" s="688"/>
      <c r="BJ37" s="689">
        <f>+BJ35</f>
        <v>74847360.51000002</v>
      </c>
      <c r="BK37" s="694" t="s">
        <v>68</v>
      </c>
      <c r="BL37" s="695"/>
      <c r="BM37" s="689">
        <f>+BM35+BM7</f>
        <v>45545917.95000001</v>
      </c>
      <c r="BO37" s="688"/>
      <c r="BP37" s="689">
        <f>+BP35</f>
        <v>77269291.78</v>
      </c>
      <c r="BQ37" s="694" t="s">
        <v>68</v>
      </c>
      <c r="BR37" s="695"/>
      <c r="BS37" s="689">
        <f>+BS35+BS7</f>
        <v>45200981.180000015</v>
      </c>
    </row>
    <row r="38" spans="1:71" ht="24.75" customHeight="1" thickTop="1">
      <c r="A38" s="688"/>
      <c r="B38" s="696"/>
      <c r="C38" s="694"/>
      <c r="D38" s="697"/>
      <c r="E38" s="698"/>
      <c r="F38" s="699"/>
      <c r="G38" s="688"/>
      <c r="H38" s="696"/>
      <c r="I38" s="694"/>
      <c r="J38" s="697"/>
      <c r="K38" s="698"/>
      <c r="M38" s="688"/>
      <c r="N38" s="696"/>
      <c r="O38" s="694"/>
      <c r="P38" s="697"/>
      <c r="Q38" s="698"/>
      <c r="S38" s="688"/>
      <c r="T38" s="696"/>
      <c r="U38" s="694"/>
      <c r="V38" s="697"/>
      <c r="W38" s="698"/>
      <c r="Y38" s="688"/>
      <c r="Z38" s="696"/>
      <c r="AA38" s="694"/>
      <c r="AB38" s="697"/>
      <c r="AC38" s="698"/>
      <c r="AE38" s="688"/>
      <c r="AF38" s="696"/>
      <c r="AG38" s="694"/>
      <c r="AH38" s="697"/>
      <c r="AI38" s="698"/>
      <c r="AK38" s="688"/>
      <c r="AL38" s="696"/>
      <c r="AM38" s="694"/>
      <c r="AN38" s="697"/>
      <c r="AO38" s="698"/>
      <c r="AQ38" s="688"/>
      <c r="AR38" s="696"/>
      <c r="AS38" s="694"/>
      <c r="AT38" s="697"/>
      <c r="AU38" s="698"/>
      <c r="AW38" s="688"/>
      <c r="AX38" s="696"/>
      <c r="AY38" s="694"/>
      <c r="AZ38" s="697"/>
      <c r="BA38" s="698"/>
      <c r="BC38" s="688"/>
      <c r="BD38" s="696"/>
      <c r="BE38" s="694"/>
      <c r="BF38" s="697"/>
      <c r="BG38" s="698"/>
      <c r="BI38" s="688"/>
      <c r="BJ38" s="696"/>
      <c r="BK38" s="694"/>
      <c r="BL38" s="697"/>
      <c r="BM38" s="698"/>
      <c r="BO38" s="688"/>
      <c r="BP38" s="696"/>
      <c r="BQ38" s="694"/>
      <c r="BR38" s="697"/>
      <c r="BS38" s="698"/>
    </row>
    <row r="39" spans="1:71" ht="24" customHeight="1" thickBot="1">
      <c r="A39" s="896" t="s">
        <v>1002</v>
      </c>
      <c r="B39" s="896"/>
      <c r="C39" s="896"/>
      <c r="D39" s="896"/>
      <c r="E39" s="897"/>
      <c r="F39" s="701"/>
      <c r="G39" s="896" t="s">
        <v>1003</v>
      </c>
      <c r="H39" s="896"/>
      <c r="I39" s="896"/>
      <c r="J39" s="896"/>
      <c r="K39" s="897"/>
      <c r="M39" s="896" t="s">
        <v>1004</v>
      </c>
      <c r="N39" s="896"/>
      <c r="O39" s="896"/>
      <c r="P39" s="896"/>
      <c r="Q39" s="897"/>
      <c r="S39" s="896" t="s">
        <v>1005</v>
      </c>
      <c r="T39" s="896"/>
      <c r="U39" s="896"/>
      <c r="V39" s="896"/>
      <c r="W39" s="897"/>
      <c r="Y39" s="700" t="s">
        <v>29</v>
      </c>
      <c r="Z39" s="700"/>
      <c r="AA39" s="700"/>
      <c r="AB39" s="700" t="s">
        <v>1006</v>
      </c>
      <c r="AC39" s="702" t="str">
        <f>+AC1</f>
        <v>กุมภาพันธ์</v>
      </c>
      <c r="AE39" s="700" t="s">
        <v>29</v>
      </c>
      <c r="AF39" s="700"/>
      <c r="AG39" s="700"/>
      <c r="AH39" s="700" t="s">
        <v>1006</v>
      </c>
      <c r="AI39" s="702" t="str">
        <f>+AI1</f>
        <v>มีนาคม</v>
      </c>
      <c r="AK39" s="700" t="s">
        <v>29</v>
      </c>
      <c r="AL39" s="700"/>
      <c r="AM39" s="700"/>
      <c r="AN39" s="700" t="s">
        <v>1006</v>
      </c>
      <c r="AO39" s="702" t="str">
        <f>+AO1</f>
        <v>เมษายน</v>
      </c>
      <c r="AQ39" s="700" t="s">
        <v>29</v>
      </c>
      <c r="AR39" s="700"/>
      <c r="AS39" s="700"/>
      <c r="AT39" s="700" t="s">
        <v>1006</v>
      </c>
      <c r="AU39" s="702" t="str">
        <f>+AU1</f>
        <v>พฤษภาคม</v>
      </c>
      <c r="AW39" s="700" t="s">
        <v>29</v>
      </c>
      <c r="AX39" s="700"/>
      <c r="AY39" s="700"/>
      <c r="AZ39" s="700" t="s">
        <v>1006</v>
      </c>
      <c r="BA39" s="702" t="str">
        <f>+BA1</f>
        <v>มิถุนายน</v>
      </c>
      <c r="BC39" s="700" t="s">
        <v>29</v>
      </c>
      <c r="BD39" s="700"/>
      <c r="BE39" s="700"/>
      <c r="BF39" s="700" t="s">
        <v>1006</v>
      </c>
      <c r="BG39" s="702" t="str">
        <f>+BG1</f>
        <v>กรกฎาคม</v>
      </c>
      <c r="BI39" s="700" t="s">
        <v>29</v>
      </c>
      <c r="BJ39" s="700"/>
      <c r="BK39" s="700"/>
      <c r="BL39" s="700" t="s">
        <v>1006</v>
      </c>
      <c r="BM39" s="702" t="str">
        <f>+BM1</f>
        <v>สิงหาคม</v>
      </c>
      <c r="BO39" s="700" t="s">
        <v>29</v>
      </c>
      <c r="BP39" s="700"/>
      <c r="BQ39" s="700"/>
      <c r="BR39" s="700" t="s">
        <v>1006</v>
      </c>
      <c r="BS39" s="702" t="str">
        <f>+BS1</f>
        <v>กันยายน</v>
      </c>
    </row>
    <row r="40" spans="1:71" ht="24" customHeight="1" thickTop="1">
      <c r="A40" s="703" t="s">
        <v>976</v>
      </c>
      <c r="B40" s="704"/>
      <c r="C40" s="705"/>
      <c r="D40" s="706" t="s">
        <v>979</v>
      </c>
      <c r="E40" s="707" t="s">
        <v>977</v>
      </c>
      <c r="F40" s="708"/>
      <c r="G40" s="703" t="s">
        <v>976</v>
      </c>
      <c r="H40" s="704"/>
      <c r="I40" s="709"/>
      <c r="J40" s="710" t="s">
        <v>979</v>
      </c>
      <c r="K40" s="707" t="s">
        <v>977</v>
      </c>
      <c r="M40" s="894" t="s">
        <v>976</v>
      </c>
      <c r="N40" s="895"/>
      <c r="O40" s="709"/>
      <c r="P40" s="710" t="s">
        <v>979</v>
      </c>
      <c r="Q40" s="707" t="s">
        <v>977</v>
      </c>
      <c r="S40" s="894" t="s">
        <v>976</v>
      </c>
      <c r="T40" s="895"/>
      <c r="U40" s="709"/>
      <c r="V40" s="710" t="s">
        <v>979</v>
      </c>
      <c r="W40" s="707" t="s">
        <v>977</v>
      </c>
      <c r="Y40" s="894" t="s">
        <v>976</v>
      </c>
      <c r="Z40" s="895"/>
      <c r="AA40" s="709"/>
      <c r="AB40" s="710" t="s">
        <v>979</v>
      </c>
      <c r="AC40" s="707" t="s">
        <v>977</v>
      </c>
      <c r="AE40" s="894" t="s">
        <v>976</v>
      </c>
      <c r="AF40" s="895"/>
      <c r="AG40" s="709"/>
      <c r="AH40" s="710" t="s">
        <v>979</v>
      </c>
      <c r="AI40" s="707" t="s">
        <v>977</v>
      </c>
      <c r="AK40" s="894" t="s">
        <v>976</v>
      </c>
      <c r="AL40" s="895"/>
      <c r="AM40" s="709"/>
      <c r="AN40" s="710" t="s">
        <v>979</v>
      </c>
      <c r="AO40" s="707" t="s">
        <v>977</v>
      </c>
      <c r="AQ40" s="894" t="s">
        <v>976</v>
      </c>
      <c r="AR40" s="895"/>
      <c r="AS40" s="709"/>
      <c r="AT40" s="710" t="s">
        <v>979</v>
      </c>
      <c r="AU40" s="707" t="s">
        <v>977</v>
      </c>
      <c r="AW40" s="894" t="s">
        <v>976</v>
      </c>
      <c r="AX40" s="895"/>
      <c r="AY40" s="709"/>
      <c r="AZ40" s="710" t="s">
        <v>979</v>
      </c>
      <c r="BA40" s="707" t="s">
        <v>977</v>
      </c>
      <c r="BC40" s="894" t="s">
        <v>976</v>
      </c>
      <c r="BD40" s="895"/>
      <c r="BE40" s="709"/>
      <c r="BF40" s="710" t="s">
        <v>979</v>
      </c>
      <c r="BG40" s="707" t="s">
        <v>977</v>
      </c>
      <c r="BI40" s="894" t="s">
        <v>976</v>
      </c>
      <c r="BJ40" s="895"/>
      <c r="BK40" s="709"/>
      <c r="BL40" s="710" t="s">
        <v>979</v>
      </c>
      <c r="BM40" s="707" t="s">
        <v>977</v>
      </c>
      <c r="BO40" s="894" t="s">
        <v>976</v>
      </c>
      <c r="BP40" s="895"/>
      <c r="BQ40" s="709"/>
      <c r="BR40" s="710" t="s">
        <v>979</v>
      </c>
      <c r="BS40" s="707" t="s">
        <v>977</v>
      </c>
    </row>
    <row r="41" spans="1:71" ht="24" customHeight="1" thickBot="1">
      <c r="A41" s="711" t="s">
        <v>33</v>
      </c>
      <c r="B41" s="711" t="s">
        <v>978</v>
      </c>
      <c r="C41" s="712" t="s">
        <v>32</v>
      </c>
      <c r="D41" s="713" t="s">
        <v>981</v>
      </c>
      <c r="E41" s="714" t="s">
        <v>978</v>
      </c>
      <c r="F41" s="708"/>
      <c r="G41" s="711" t="s">
        <v>33</v>
      </c>
      <c r="H41" s="711" t="s">
        <v>978</v>
      </c>
      <c r="I41" s="712" t="s">
        <v>32</v>
      </c>
      <c r="J41" s="715" t="s">
        <v>981</v>
      </c>
      <c r="K41" s="716" t="s">
        <v>978</v>
      </c>
      <c r="M41" s="711" t="s">
        <v>33</v>
      </c>
      <c r="N41" s="711" t="s">
        <v>978</v>
      </c>
      <c r="O41" s="712" t="s">
        <v>32</v>
      </c>
      <c r="P41" s="715" t="s">
        <v>981</v>
      </c>
      <c r="Q41" s="716" t="s">
        <v>978</v>
      </c>
      <c r="S41" s="711" t="s">
        <v>33</v>
      </c>
      <c r="T41" s="711" t="s">
        <v>978</v>
      </c>
      <c r="U41" s="712" t="s">
        <v>32</v>
      </c>
      <c r="V41" s="715" t="s">
        <v>981</v>
      </c>
      <c r="W41" s="716" t="s">
        <v>978</v>
      </c>
      <c r="Y41" s="711" t="s">
        <v>33</v>
      </c>
      <c r="Z41" s="711" t="s">
        <v>978</v>
      </c>
      <c r="AA41" s="712" t="s">
        <v>32</v>
      </c>
      <c r="AB41" s="715" t="s">
        <v>981</v>
      </c>
      <c r="AC41" s="716" t="s">
        <v>978</v>
      </c>
      <c r="AE41" s="711" t="s">
        <v>33</v>
      </c>
      <c r="AF41" s="711" t="s">
        <v>978</v>
      </c>
      <c r="AG41" s="712" t="s">
        <v>32</v>
      </c>
      <c r="AH41" s="715" t="s">
        <v>981</v>
      </c>
      <c r="AI41" s="716" t="s">
        <v>978</v>
      </c>
      <c r="AK41" s="711" t="s">
        <v>33</v>
      </c>
      <c r="AL41" s="711" t="s">
        <v>978</v>
      </c>
      <c r="AM41" s="712" t="s">
        <v>32</v>
      </c>
      <c r="AN41" s="715" t="s">
        <v>981</v>
      </c>
      <c r="AO41" s="716" t="s">
        <v>978</v>
      </c>
      <c r="AQ41" s="711" t="s">
        <v>33</v>
      </c>
      <c r="AR41" s="711" t="s">
        <v>978</v>
      </c>
      <c r="AS41" s="712" t="s">
        <v>32</v>
      </c>
      <c r="AT41" s="715" t="s">
        <v>981</v>
      </c>
      <c r="AU41" s="716" t="s">
        <v>978</v>
      </c>
      <c r="AW41" s="711" t="s">
        <v>33</v>
      </c>
      <c r="AX41" s="711" t="s">
        <v>978</v>
      </c>
      <c r="AY41" s="712" t="s">
        <v>32</v>
      </c>
      <c r="AZ41" s="715" t="s">
        <v>981</v>
      </c>
      <c r="BA41" s="716" t="s">
        <v>978</v>
      </c>
      <c r="BC41" s="711" t="s">
        <v>33</v>
      </c>
      <c r="BD41" s="711" t="s">
        <v>978</v>
      </c>
      <c r="BE41" s="712" t="s">
        <v>32</v>
      </c>
      <c r="BF41" s="715" t="s">
        <v>981</v>
      </c>
      <c r="BG41" s="716" t="s">
        <v>978</v>
      </c>
      <c r="BI41" s="711" t="s">
        <v>33</v>
      </c>
      <c r="BJ41" s="711" t="s">
        <v>978</v>
      </c>
      <c r="BK41" s="712" t="s">
        <v>32</v>
      </c>
      <c r="BL41" s="715" t="s">
        <v>981</v>
      </c>
      <c r="BM41" s="716" t="s">
        <v>978</v>
      </c>
      <c r="BO41" s="711" t="s">
        <v>33</v>
      </c>
      <c r="BP41" s="711" t="s">
        <v>978</v>
      </c>
      <c r="BQ41" s="712" t="s">
        <v>32</v>
      </c>
      <c r="BR41" s="715" t="s">
        <v>981</v>
      </c>
      <c r="BS41" s="716" t="s">
        <v>978</v>
      </c>
    </row>
    <row r="42" spans="1:71" ht="24" customHeight="1" thickBot="1" thickTop="1">
      <c r="A42" s="713" t="s">
        <v>980</v>
      </c>
      <c r="B42" s="713" t="s">
        <v>980</v>
      </c>
      <c r="C42" s="717"/>
      <c r="D42" s="713"/>
      <c r="E42" s="718" t="s">
        <v>980</v>
      </c>
      <c r="F42" s="708"/>
      <c r="G42" s="713" t="s">
        <v>980</v>
      </c>
      <c r="H42" s="713" t="s">
        <v>980</v>
      </c>
      <c r="I42" s="717"/>
      <c r="J42" s="719"/>
      <c r="K42" s="719" t="s">
        <v>980</v>
      </c>
      <c r="M42" s="713" t="s">
        <v>980</v>
      </c>
      <c r="N42" s="713" t="s">
        <v>980</v>
      </c>
      <c r="O42" s="717"/>
      <c r="P42" s="719"/>
      <c r="Q42" s="719" t="s">
        <v>980</v>
      </c>
      <c r="S42" s="713" t="s">
        <v>980</v>
      </c>
      <c r="T42" s="713" t="s">
        <v>980</v>
      </c>
      <c r="U42" s="717"/>
      <c r="V42" s="719"/>
      <c r="W42" s="719" t="s">
        <v>980</v>
      </c>
      <c r="Y42" s="713" t="s">
        <v>980</v>
      </c>
      <c r="Z42" s="713" t="s">
        <v>980</v>
      </c>
      <c r="AA42" s="717"/>
      <c r="AB42" s="719"/>
      <c r="AC42" s="719" t="s">
        <v>980</v>
      </c>
      <c r="AE42" s="713" t="s">
        <v>980</v>
      </c>
      <c r="AF42" s="713" t="s">
        <v>980</v>
      </c>
      <c r="AG42" s="717"/>
      <c r="AH42" s="719"/>
      <c r="AI42" s="719" t="s">
        <v>980</v>
      </c>
      <c r="AK42" s="713" t="s">
        <v>980</v>
      </c>
      <c r="AL42" s="713" t="s">
        <v>980</v>
      </c>
      <c r="AM42" s="717"/>
      <c r="AN42" s="719"/>
      <c r="AO42" s="719" t="s">
        <v>980</v>
      </c>
      <c r="AQ42" s="713" t="s">
        <v>980</v>
      </c>
      <c r="AR42" s="713" t="s">
        <v>980</v>
      </c>
      <c r="AS42" s="717"/>
      <c r="AT42" s="719"/>
      <c r="AU42" s="719" t="s">
        <v>980</v>
      </c>
      <c r="AW42" s="713" t="s">
        <v>980</v>
      </c>
      <c r="AX42" s="713" t="s">
        <v>980</v>
      </c>
      <c r="AY42" s="717"/>
      <c r="AZ42" s="719"/>
      <c r="BA42" s="719" t="s">
        <v>980</v>
      </c>
      <c r="BC42" s="713" t="s">
        <v>980</v>
      </c>
      <c r="BD42" s="713" t="s">
        <v>980</v>
      </c>
      <c r="BE42" s="717"/>
      <c r="BF42" s="719"/>
      <c r="BG42" s="719" t="s">
        <v>980</v>
      </c>
      <c r="BI42" s="713" t="s">
        <v>980</v>
      </c>
      <c r="BJ42" s="713" t="s">
        <v>980</v>
      </c>
      <c r="BK42" s="717"/>
      <c r="BL42" s="719"/>
      <c r="BM42" s="719" t="s">
        <v>980</v>
      </c>
      <c r="BO42" s="713" t="s">
        <v>980</v>
      </c>
      <c r="BP42" s="713" t="s">
        <v>980</v>
      </c>
      <c r="BQ42" s="717"/>
      <c r="BR42" s="719"/>
      <c r="BS42" s="719" t="s">
        <v>980</v>
      </c>
    </row>
    <row r="43" spans="1:71" ht="24" customHeight="1" thickTop="1">
      <c r="A43" s="667"/>
      <c r="B43" s="674" t="s">
        <v>29</v>
      </c>
      <c r="C43" s="720" t="s">
        <v>218</v>
      </c>
      <c r="D43" s="721"/>
      <c r="E43" s="674"/>
      <c r="F43" s="666" t="s">
        <v>1007</v>
      </c>
      <c r="G43" s="667"/>
      <c r="H43" s="674" t="s">
        <v>29</v>
      </c>
      <c r="I43" s="720" t="s">
        <v>218</v>
      </c>
      <c r="J43" s="721"/>
      <c r="K43" s="674"/>
      <c r="M43" s="667"/>
      <c r="N43" s="674" t="s">
        <v>29</v>
      </c>
      <c r="O43" s="720" t="s">
        <v>218</v>
      </c>
      <c r="P43" s="721"/>
      <c r="Q43" s="674"/>
      <c r="S43" s="667"/>
      <c r="T43" s="674" t="s">
        <v>29</v>
      </c>
      <c r="U43" s="720" t="s">
        <v>218</v>
      </c>
      <c r="V43" s="721"/>
      <c r="W43" s="674"/>
      <c r="Y43" s="667"/>
      <c r="Z43" s="674" t="s">
        <v>29</v>
      </c>
      <c r="AA43" s="720" t="s">
        <v>218</v>
      </c>
      <c r="AB43" s="721"/>
      <c r="AC43" s="674"/>
      <c r="AE43" s="667"/>
      <c r="AF43" s="674" t="s">
        <v>29</v>
      </c>
      <c r="AG43" s="720" t="s">
        <v>218</v>
      </c>
      <c r="AH43" s="721"/>
      <c r="AI43" s="674"/>
      <c r="AK43" s="667"/>
      <c r="AL43" s="674" t="s">
        <v>29</v>
      </c>
      <c r="AM43" s="720" t="s">
        <v>218</v>
      </c>
      <c r="AN43" s="721"/>
      <c r="AO43" s="674"/>
      <c r="AQ43" s="667"/>
      <c r="AR43" s="674" t="s">
        <v>29</v>
      </c>
      <c r="AS43" s="720" t="s">
        <v>218</v>
      </c>
      <c r="AT43" s="721"/>
      <c r="AU43" s="674"/>
      <c r="AW43" s="667"/>
      <c r="AX43" s="674" t="s">
        <v>29</v>
      </c>
      <c r="AY43" s="720" t="s">
        <v>218</v>
      </c>
      <c r="AZ43" s="721"/>
      <c r="BA43" s="674"/>
      <c r="BC43" s="667"/>
      <c r="BD43" s="674" t="s">
        <v>29</v>
      </c>
      <c r="BE43" s="720" t="s">
        <v>218</v>
      </c>
      <c r="BF43" s="721"/>
      <c r="BG43" s="674"/>
      <c r="BI43" s="667"/>
      <c r="BJ43" s="674" t="s">
        <v>29</v>
      </c>
      <c r="BK43" s="720" t="s">
        <v>218</v>
      </c>
      <c r="BL43" s="721"/>
      <c r="BM43" s="674"/>
      <c r="BO43" s="667"/>
      <c r="BP43" s="674" t="s">
        <v>29</v>
      </c>
      <c r="BQ43" s="720" t="s">
        <v>218</v>
      </c>
      <c r="BR43" s="721"/>
      <c r="BS43" s="674"/>
    </row>
    <row r="44" spans="1:72" ht="24" customHeight="1">
      <c r="A44" s="671">
        <v>1691620</v>
      </c>
      <c r="B44" s="671">
        <f>+E44</f>
        <v>9500</v>
      </c>
      <c r="C44" s="669" t="s">
        <v>2</v>
      </c>
      <c r="D44" s="677" t="s">
        <v>1008</v>
      </c>
      <c r="E44" s="671">
        <v>9500</v>
      </c>
      <c r="F44" s="678"/>
      <c r="G44" s="671">
        <v>1691620</v>
      </c>
      <c r="H44" s="671">
        <f aca="true" t="shared" si="12" ref="H44:H69">+E44+K44</f>
        <v>432813</v>
      </c>
      <c r="I44" s="669" t="s">
        <v>2</v>
      </c>
      <c r="J44" s="677" t="s">
        <v>1008</v>
      </c>
      <c r="K44" s="671">
        <v>423313</v>
      </c>
      <c r="M44" s="671">
        <v>1691620</v>
      </c>
      <c r="N44" s="679">
        <f aca="true" t="shared" si="13" ref="N44:N69">+E44+K44+Q44</f>
        <v>791750</v>
      </c>
      <c r="O44" s="669" t="s">
        <v>2</v>
      </c>
      <c r="P44" s="677" t="s">
        <v>1008</v>
      </c>
      <c r="Q44" s="679">
        <v>358937</v>
      </c>
      <c r="S44" s="671">
        <v>1691620</v>
      </c>
      <c r="T44" s="679">
        <f aca="true" t="shared" si="14" ref="T44:T69">+K44+Q44+W44+E44</f>
        <v>913017</v>
      </c>
      <c r="U44" s="669" t="s">
        <v>2</v>
      </c>
      <c r="V44" s="677" t="s">
        <v>1008</v>
      </c>
      <c r="W44" s="679">
        <v>121267</v>
      </c>
      <c r="Y44" s="671">
        <v>1591620</v>
      </c>
      <c r="Z44" s="671">
        <f aca="true" t="shared" si="15" ref="Z44:Z55">+Q44+W44+AC44+K44+E44</f>
        <v>936109</v>
      </c>
      <c r="AA44" s="669" t="s">
        <v>2</v>
      </c>
      <c r="AB44" s="677" t="s">
        <v>1008</v>
      </c>
      <c r="AC44" s="679">
        <v>23092</v>
      </c>
      <c r="AE44" s="671">
        <v>1591620</v>
      </c>
      <c r="AF44" s="671">
        <f>+W44+AC44+AI44+Q44+K44+E44</f>
        <v>958498</v>
      </c>
      <c r="AG44" s="669" t="s">
        <v>2</v>
      </c>
      <c r="AH44" s="677" t="s">
        <v>1008</v>
      </c>
      <c r="AI44" s="679">
        <v>22389</v>
      </c>
      <c r="AK44" s="671">
        <v>1591620</v>
      </c>
      <c r="AL44" s="671">
        <f aca="true" t="shared" si="16" ref="AL44:AL55">+AC44+AI44+AO44+W44+Q44+K44+E44</f>
        <v>980887</v>
      </c>
      <c r="AM44" s="669" t="s">
        <v>2</v>
      </c>
      <c r="AN44" s="677" t="s">
        <v>1008</v>
      </c>
      <c r="AO44" s="679">
        <v>22389</v>
      </c>
      <c r="AQ44" s="671">
        <v>1591620</v>
      </c>
      <c r="AR44" s="671">
        <f>+AI44+AO44+AU44+AC44+W44+Q44+K44+E44</f>
        <v>1005776</v>
      </c>
      <c r="AS44" s="669" t="s">
        <v>2</v>
      </c>
      <c r="AT44" s="677" t="s">
        <v>1008</v>
      </c>
      <c r="AU44" s="679">
        <v>24889</v>
      </c>
      <c r="AW44" s="671">
        <v>1551620</v>
      </c>
      <c r="AX44" s="671">
        <f aca="true" t="shared" si="17" ref="AX44:AX55">+AO44+AU44+BA44+AI44+AC44+W44+Q44+K44+E44</f>
        <v>1087700</v>
      </c>
      <c r="AY44" s="669" t="s">
        <v>2</v>
      </c>
      <c r="AZ44" s="677" t="s">
        <v>1008</v>
      </c>
      <c r="BA44" s="679">
        <v>81924</v>
      </c>
      <c r="BC44" s="671">
        <v>1551620</v>
      </c>
      <c r="BD44" s="671">
        <f aca="true" t="shared" si="18" ref="BD44:BD55">+AU44+BA44+BG44+AO44+AI44+AC44+W44+Q44+K44+E44</f>
        <v>1109097</v>
      </c>
      <c r="BE44" s="669" t="s">
        <v>2</v>
      </c>
      <c r="BF44" s="677" t="s">
        <v>1008</v>
      </c>
      <c r="BG44" s="679">
        <v>21397</v>
      </c>
      <c r="BI44" s="671">
        <v>1531620</v>
      </c>
      <c r="BJ44" s="671">
        <f aca="true" t="shared" si="19" ref="BJ44:BJ55">+BA44+BG44+BM44+AU44+AO44+AI44+AC44+W44+Q44+K44+E44</f>
        <v>1128631</v>
      </c>
      <c r="BK44" s="669" t="s">
        <v>2</v>
      </c>
      <c r="BL44" s="677" t="s">
        <v>1008</v>
      </c>
      <c r="BM44" s="679">
        <v>19534</v>
      </c>
      <c r="BO44" s="671">
        <v>1391670</v>
      </c>
      <c r="BP44" s="671">
        <f aca="true" t="shared" si="20" ref="BP44:BP55">+BG44+BM44+BS44+BA44+AU44+AO44+AI44+AC44+W44+Q44+K44+E44</f>
        <v>1224731</v>
      </c>
      <c r="BQ44" s="669" t="s">
        <v>2</v>
      </c>
      <c r="BR44" s="677" t="s">
        <v>1008</v>
      </c>
      <c r="BS44" s="680">
        <v>96100</v>
      </c>
      <c r="BT44" s="651">
        <v>104100</v>
      </c>
    </row>
    <row r="45" spans="1:72" ht="24" customHeight="1">
      <c r="A45" s="671">
        <v>8512420</v>
      </c>
      <c r="B45" s="671">
        <f aca="true" t="shared" si="21" ref="B45:B69">+E45</f>
        <v>599018.7</v>
      </c>
      <c r="C45" s="669" t="s">
        <v>73</v>
      </c>
      <c r="D45" s="677" t="s">
        <v>1009</v>
      </c>
      <c r="E45" s="671">
        <v>599018.7</v>
      </c>
      <c r="F45" s="678"/>
      <c r="G45" s="671">
        <v>8512420</v>
      </c>
      <c r="H45" s="671">
        <f t="shared" si="12"/>
        <v>1198433.7</v>
      </c>
      <c r="I45" s="669" t="s">
        <v>73</v>
      </c>
      <c r="J45" s="677" t="s">
        <v>1009</v>
      </c>
      <c r="K45" s="671">
        <v>599415</v>
      </c>
      <c r="M45" s="671">
        <v>8512420</v>
      </c>
      <c r="N45" s="671">
        <f t="shared" si="13"/>
        <v>1831888.7</v>
      </c>
      <c r="O45" s="669" t="s">
        <v>73</v>
      </c>
      <c r="P45" s="677" t="s">
        <v>1009</v>
      </c>
      <c r="Q45" s="671">
        <v>633455</v>
      </c>
      <c r="S45" s="671">
        <v>8512420</v>
      </c>
      <c r="T45" s="671">
        <f t="shared" si="14"/>
        <v>2465343.7</v>
      </c>
      <c r="U45" s="669" t="s">
        <v>73</v>
      </c>
      <c r="V45" s="677" t="s">
        <v>1009</v>
      </c>
      <c r="W45" s="671">
        <v>633455</v>
      </c>
      <c r="Y45" s="671">
        <v>8315420</v>
      </c>
      <c r="Z45" s="671">
        <f t="shared" si="15"/>
        <v>3112108.7</v>
      </c>
      <c r="AA45" s="669" t="s">
        <v>73</v>
      </c>
      <c r="AB45" s="677" t="s">
        <v>1009</v>
      </c>
      <c r="AC45" s="671">
        <v>646765</v>
      </c>
      <c r="AE45" s="671">
        <v>8315420</v>
      </c>
      <c r="AF45" s="671">
        <f aca="true" t="shared" si="22" ref="AF45:AF55">+W45+AC45+AI45+Q45+K45+E45</f>
        <v>3758873.7</v>
      </c>
      <c r="AG45" s="669" t="s">
        <v>73</v>
      </c>
      <c r="AH45" s="677" t="s">
        <v>1009</v>
      </c>
      <c r="AI45" s="671">
        <v>646765</v>
      </c>
      <c r="AK45" s="671">
        <v>8292420</v>
      </c>
      <c r="AL45" s="671">
        <f t="shared" si="16"/>
        <v>4405638.7</v>
      </c>
      <c r="AM45" s="669" t="s">
        <v>73</v>
      </c>
      <c r="AN45" s="677" t="s">
        <v>1009</v>
      </c>
      <c r="AO45" s="671">
        <v>646765</v>
      </c>
      <c r="AQ45" s="671">
        <v>8282420</v>
      </c>
      <c r="AR45" s="671">
        <f aca="true" t="shared" si="23" ref="AR45:AR55">+AI45+AO45+AU45+AC45+W45+Q45+K45+E45</f>
        <v>5069903.7</v>
      </c>
      <c r="AS45" s="669" t="s">
        <v>73</v>
      </c>
      <c r="AT45" s="677" t="s">
        <v>1009</v>
      </c>
      <c r="AU45" s="671">
        <v>664265</v>
      </c>
      <c r="AW45" s="671">
        <v>8282420</v>
      </c>
      <c r="AX45" s="671">
        <f t="shared" si="17"/>
        <v>5698998.7</v>
      </c>
      <c r="AY45" s="669" t="s">
        <v>73</v>
      </c>
      <c r="AZ45" s="677" t="s">
        <v>1009</v>
      </c>
      <c r="BA45" s="671">
        <v>629095</v>
      </c>
      <c r="BC45" s="671">
        <v>8200666</v>
      </c>
      <c r="BD45" s="671">
        <f t="shared" si="18"/>
        <v>6358013.7</v>
      </c>
      <c r="BE45" s="669" t="s">
        <v>73</v>
      </c>
      <c r="BF45" s="677" t="s">
        <v>1009</v>
      </c>
      <c r="BG45" s="671">
        <v>659015</v>
      </c>
      <c r="BI45" s="671">
        <v>8233886</v>
      </c>
      <c r="BJ45" s="671">
        <f t="shared" si="19"/>
        <v>7001576.44</v>
      </c>
      <c r="BK45" s="669" t="s">
        <v>73</v>
      </c>
      <c r="BL45" s="677" t="s">
        <v>1009</v>
      </c>
      <c r="BM45" s="671">
        <v>643562.74</v>
      </c>
      <c r="BO45" s="671">
        <v>7830366</v>
      </c>
      <c r="BP45" s="671">
        <f t="shared" si="20"/>
        <v>7637545.63</v>
      </c>
      <c r="BQ45" s="669" t="s">
        <v>73</v>
      </c>
      <c r="BR45" s="677" t="s">
        <v>1009</v>
      </c>
      <c r="BS45" s="680">
        <v>635969.19</v>
      </c>
      <c r="BT45" s="651">
        <v>635969.19</v>
      </c>
    </row>
    <row r="46" spans="1:72" ht="24" customHeight="1">
      <c r="A46" s="671">
        <v>208800</v>
      </c>
      <c r="B46" s="671">
        <f t="shared" si="21"/>
        <v>15000</v>
      </c>
      <c r="C46" s="669" t="s">
        <v>46</v>
      </c>
      <c r="D46" s="677" t="s">
        <v>1010</v>
      </c>
      <c r="E46" s="671">
        <v>15000</v>
      </c>
      <c r="F46" s="678"/>
      <c r="G46" s="671">
        <v>208800</v>
      </c>
      <c r="H46" s="671">
        <f t="shared" si="12"/>
        <v>47840</v>
      </c>
      <c r="I46" s="669" t="s">
        <v>46</v>
      </c>
      <c r="J46" s="677" t="s">
        <v>1010</v>
      </c>
      <c r="K46" s="671">
        <v>32840</v>
      </c>
      <c r="M46" s="671">
        <v>219300</v>
      </c>
      <c r="N46" s="671">
        <f t="shared" si="13"/>
        <v>64800</v>
      </c>
      <c r="O46" s="669" t="s">
        <v>46</v>
      </c>
      <c r="P46" s="677" t="s">
        <v>1010</v>
      </c>
      <c r="Q46" s="671">
        <v>16960</v>
      </c>
      <c r="S46" s="671">
        <v>219300</v>
      </c>
      <c r="T46" s="671">
        <f t="shared" si="14"/>
        <v>81760</v>
      </c>
      <c r="U46" s="669" t="s">
        <v>46</v>
      </c>
      <c r="V46" s="677" t="s">
        <v>1010</v>
      </c>
      <c r="W46" s="671">
        <v>16960</v>
      </c>
      <c r="Y46" s="671">
        <v>219300</v>
      </c>
      <c r="Z46" s="671">
        <f t="shared" si="15"/>
        <v>98720</v>
      </c>
      <c r="AA46" s="669" t="s">
        <v>46</v>
      </c>
      <c r="AB46" s="677" t="s">
        <v>1010</v>
      </c>
      <c r="AC46" s="671">
        <v>16960</v>
      </c>
      <c r="AE46" s="671">
        <v>219300</v>
      </c>
      <c r="AF46" s="671">
        <f t="shared" si="22"/>
        <v>115680</v>
      </c>
      <c r="AG46" s="669" t="s">
        <v>46</v>
      </c>
      <c r="AH46" s="677" t="s">
        <v>1010</v>
      </c>
      <c r="AI46" s="671">
        <v>16960</v>
      </c>
      <c r="AK46" s="671">
        <v>219300</v>
      </c>
      <c r="AL46" s="671">
        <f t="shared" si="16"/>
        <v>132640</v>
      </c>
      <c r="AM46" s="669" t="s">
        <v>46</v>
      </c>
      <c r="AN46" s="677" t="s">
        <v>1010</v>
      </c>
      <c r="AO46" s="671">
        <v>16960</v>
      </c>
      <c r="AQ46" s="671">
        <v>219300</v>
      </c>
      <c r="AR46" s="671">
        <f t="shared" si="23"/>
        <v>150220</v>
      </c>
      <c r="AS46" s="669" t="s">
        <v>46</v>
      </c>
      <c r="AT46" s="677" t="s">
        <v>1010</v>
      </c>
      <c r="AU46" s="671">
        <v>17580</v>
      </c>
      <c r="AW46" s="671">
        <v>219300</v>
      </c>
      <c r="AX46" s="671">
        <f t="shared" si="17"/>
        <v>167490</v>
      </c>
      <c r="AY46" s="669" t="s">
        <v>46</v>
      </c>
      <c r="AZ46" s="677" t="s">
        <v>1010</v>
      </c>
      <c r="BA46" s="671">
        <v>17270</v>
      </c>
      <c r="BC46" s="671">
        <v>219300</v>
      </c>
      <c r="BD46" s="671">
        <f t="shared" si="18"/>
        <v>184760</v>
      </c>
      <c r="BE46" s="669" t="s">
        <v>46</v>
      </c>
      <c r="BF46" s="677" t="s">
        <v>1010</v>
      </c>
      <c r="BG46" s="671">
        <v>17270</v>
      </c>
      <c r="BI46" s="671">
        <v>225400</v>
      </c>
      <c r="BJ46" s="671">
        <f t="shared" si="19"/>
        <v>202030</v>
      </c>
      <c r="BK46" s="669" t="s">
        <v>46</v>
      </c>
      <c r="BL46" s="677" t="s">
        <v>1010</v>
      </c>
      <c r="BM46" s="671">
        <v>17270</v>
      </c>
      <c r="BO46" s="671">
        <v>225400</v>
      </c>
      <c r="BP46" s="671">
        <f t="shared" si="20"/>
        <v>219300</v>
      </c>
      <c r="BQ46" s="669" t="s">
        <v>46</v>
      </c>
      <c r="BR46" s="677" t="s">
        <v>1010</v>
      </c>
      <c r="BS46" s="680">
        <v>17270</v>
      </c>
      <c r="BT46" s="651">
        <v>17270</v>
      </c>
    </row>
    <row r="47" spans="1:72" ht="24" customHeight="1">
      <c r="A47" s="671">
        <v>3541120</v>
      </c>
      <c r="B47" s="671">
        <f t="shared" si="21"/>
        <v>276310</v>
      </c>
      <c r="C47" s="669" t="s">
        <v>74</v>
      </c>
      <c r="D47" s="677" t="s">
        <v>1011</v>
      </c>
      <c r="E47" s="671">
        <v>276310</v>
      </c>
      <c r="F47" s="678"/>
      <c r="G47" s="671">
        <v>3541120</v>
      </c>
      <c r="H47" s="671">
        <f t="shared" si="12"/>
        <v>552620</v>
      </c>
      <c r="I47" s="669" t="s">
        <v>74</v>
      </c>
      <c r="J47" s="677" t="s">
        <v>1011</v>
      </c>
      <c r="K47" s="671">
        <v>276310</v>
      </c>
      <c r="M47" s="671">
        <v>3530620</v>
      </c>
      <c r="N47" s="671">
        <f t="shared" si="13"/>
        <v>843805</v>
      </c>
      <c r="O47" s="669" t="s">
        <v>74</v>
      </c>
      <c r="P47" s="677" t="s">
        <v>1011</v>
      </c>
      <c r="Q47" s="671">
        <v>291185</v>
      </c>
      <c r="S47" s="671">
        <v>3530620</v>
      </c>
      <c r="T47" s="671">
        <f t="shared" si="14"/>
        <v>1116990</v>
      </c>
      <c r="U47" s="669" t="s">
        <v>74</v>
      </c>
      <c r="V47" s="677" t="s">
        <v>1011</v>
      </c>
      <c r="W47" s="671">
        <v>273185</v>
      </c>
      <c r="Y47" s="671">
        <v>3370620</v>
      </c>
      <c r="Z47" s="671">
        <f t="shared" si="15"/>
        <v>1373686</v>
      </c>
      <c r="AA47" s="669" t="s">
        <v>74</v>
      </c>
      <c r="AB47" s="677" t="s">
        <v>1011</v>
      </c>
      <c r="AC47" s="671">
        <v>256696</v>
      </c>
      <c r="AE47" s="671">
        <v>3224620</v>
      </c>
      <c r="AF47" s="671">
        <f t="shared" si="22"/>
        <v>1631431</v>
      </c>
      <c r="AG47" s="669" t="s">
        <v>74</v>
      </c>
      <c r="AH47" s="677" t="s">
        <v>1011</v>
      </c>
      <c r="AI47" s="671">
        <v>257745</v>
      </c>
      <c r="AK47" s="671">
        <v>3247620</v>
      </c>
      <c r="AL47" s="671">
        <f t="shared" si="16"/>
        <v>1889176</v>
      </c>
      <c r="AM47" s="669" t="s">
        <v>74</v>
      </c>
      <c r="AN47" s="677" t="s">
        <v>1011</v>
      </c>
      <c r="AO47" s="671">
        <v>257745</v>
      </c>
      <c r="AQ47" s="671">
        <v>3352620</v>
      </c>
      <c r="AR47" s="671">
        <f t="shared" si="23"/>
        <v>2176671</v>
      </c>
      <c r="AS47" s="669" t="s">
        <v>74</v>
      </c>
      <c r="AT47" s="677" t="s">
        <v>1011</v>
      </c>
      <c r="AU47" s="671">
        <v>287495</v>
      </c>
      <c r="AW47" s="671">
        <v>3413280</v>
      </c>
      <c r="AX47" s="671">
        <f t="shared" si="17"/>
        <v>2414588</v>
      </c>
      <c r="AY47" s="669" t="s">
        <v>74</v>
      </c>
      <c r="AZ47" s="677" t="s">
        <v>1011</v>
      </c>
      <c r="BA47" s="671">
        <v>237917</v>
      </c>
      <c r="BC47" s="671">
        <v>3411780</v>
      </c>
      <c r="BD47" s="671">
        <f t="shared" si="18"/>
        <v>2642484.16</v>
      </c>
      <c r="BE47" s="669" t="s">
        <v>74</v>
      </c>
      <c r="BF47" s="677" t="s">
        <v>1011</v>
      </c>
      <c r="BG47" s="671">
        <f>229162.94-1266.78</f>
        <v>227896.16</v>
      </c>
      <c r="BI47" s="671">
        <v>3500955</v>
      </c>
      <c r="BJ47" s="671">
        <f t="shared" si="19"/>
        <v>3078100.12</v>
      </c>
      <c r="BK47" s="669" t="s">
        <v>74</v>
      </c>
      <c r="BL47" s="677" t="s">
        <v>1011</v>
      </c>
      <c r="BM47" s="671">
        <v>435615.96</v>
      </c>
      <c r="BO47" s="671">
        <f>3662787-10000</f>
        <v>3652787</v>
      </c>
      <c r="BP47" s="671">
        <f t="shared" si="20"/>
        <v>3536503.12</v>
      </c>
      <c r="BQ47" s="669" t="s">
        <v>74</v>
      </c>
      <c r="BR47" s="677" t="s">
        <v>1011</v>
      </c>
      <c r="BS47" s="680">
        <f>525678.13-67275.13</f>
        <v>458403</v>
      </c>
      <c r="BT47" s="651">
        <v>458403</v>
      </c>
    </row>
    <row r="48" spans="1:72" ht="24" customHeight="1">
      <c r="A48" s="671">
        <v>1059200</v>
      </c>
      <c r="B48" s="671">
        <f t="shared" si="21"/>
        <v>0</v>
      </c>
      <c r="C48" s="669" t="s">
        <v>75</v>
      </c>
      <c r="D48" s="677" t="s">
        <v>1012</v>
      </c>
      <c r="E48" s="671">
        <v>0</v>
      </c>
      <c r="F48" s="678"/>
      <c r="G48" s="671">
        <v>1059200</v>
      </c>
      <c r="H48" s="671">
        <f t="shared" si="12"/>
        <v>21900</v>
      </c>
      <c r="I48" s="669" t="s">
        <v>75</v>
      </c>
      <c r="J48" s="677" t="s">
        <v>1012</v>
      </c>
      <c r="K48" s="671">
        <v>21900</v>
      </c>
      <c r="M48" s="671">
        <v>1029200</v>
      </c>
      <c r="N48" s="671">
        <f t="shared" si="13"/>
        <v>39200</v>
      </c>
      <c r="O48" s="669" t="s">
        <v>75</v>
      </c>
      <c r="P48" s="677" t="s">
        <v>1012</v>
      </c>
      <c r="Q48" s="671">
        <v>17300</v>
      </c>
      <c r="S48" s="671">
        <v>1029200</v>
      </c>
      <c r="T48" s="671">
        <f t="shared" si="14"/>
        <v>68200</v>
      </c>
      <c r="U48" s="669" t="s">
        <v>75</v>
      </c>
      <c r="V48" s="677" t="s">
        <v>1012</v>
      </c>
      <c r="W48" s="671">
        <v>29000</v>
      </c>
      <c r="Y48" s="671">
        <v>616300</v>
      </c>
      <c r="Z48" s="671">
        <f t="shared" si="15"/>
        <v>92930</v>
      </c>
      <c r="AA48" s="669" t="s">
        <v>75</v>
      </c>
      <c r="AB48" s="677" t="s">
        <v>1012</v>
      </c>
      <c r="AC48" s="671">
        <v>24730</v>
      </c>
      <c r="AE48" s="671">
        <v>616300</v>
      </c>
      <c r="AF48" s="671">
        <f t="shared" si="22"/>
        <v>122280</v>
      </c>
      <c r="AG48" s="669" t="s">
        <v>75</v>
      </c>
      <c r="AH48" s="677" t="s">
        <v>1012</v>
      </c>
      <c r="AI48" s="671">
        <v>29350</v>
      </c>
      <c r="AK48" s="671">
        <v>636522.17</v>
      </c>
      <c r="AL48" s="671">
        <f t="shared" si="16"/>
        <v>146830</v>
      </c>
      <c r="AM48" s="669" t="s">
        <v>75</v>
      </c>
      <c r="AN48" s="677" t="s">
        <v>1012</v>
      </c>
      <c r="AO48" s="671">
        <v>24550</v>
      </c>
      <c r="AQ48" s="671">
        <v>620022.17</v>
      </c>
      <c r="AR48" s="671">
        <f t="shared" si="23"/>
        <v>178936</v>
      </c>
      <c r="AS48" s="669" t="s">
        <v>75</v>
      </c>
      <c r="AT48" s="677" t="s">
        <v>1012</v>
      </c>
      <c r="AU48" s="671">
        <v>32106</v>
      </c>
      <c r="AW48" s="671">
        <v>598822.17</v>
      </c>
      <c r="AX48" s="671">
        <f t="shared" si="17"/>
        <v>237586</v>
      </c>
      <c r="AY48" s="669" t="s">
        <v>75</v>
      </c>
      <c r="AZ48" s="677" t="s">
        <v>1012</v>
      </c>
      <c r="BA48" s="671">
        <v>58650</v>
      </c>
      <c r="BC48" s="671">
        <v>597822.17</v>
      </c>
      <c r="BD48" s="671">
        <f t="shared" si="18"/>
        <v>262136</v>
      </c>
      <c r="BE48" s="669" t="s">
        <v>75</v>
      </c>
      <c r="BF48" s="677" t="s">
        <v>1012</v>
      </c>
      <c r="BG48" s="671">
        <v>24550</v>
      </c>
      <c r="BI48" s="671">
        <v>637372.17</v>
      </c>
      <c r="BJ48" s="671">
        <f t="shared" si="19"/>
        <v>289686</v>
      </c>
      <c r="BK48" s="669" t="s">
        <v>75</v>
      </c>
      <c r="BL48" s="677" t="s">
        <v>1012</v>
      </c>
      <c r="BM48" s="671">
        <v>27550</v>
      </c>
      <c r="BO48" s="671">
        <v>1258025.17</v>
      </c>
      <c r="BP48" s="671">
        <f t="shared" si="20"/>
        <v>361236</v>
      </c>
      <c r="BQ48" s="669" t="s">
        <v>75</v>
      </c>
      <c r="BR48" s="677" t="s">
        <v>1012</v>
      </c>
      <c r="BS48" s="680">
        <f>880556-809006</f>
        <v>71550</v>
      </c>
      <c r="BT48" s="651">
        <v>71550</v>
      </c>
    </row>
    <row r="49" spans="1:72" ht="24" customHeight="1">
      <c r="A49" s="671">
        <v>5232200</v>
      </c>
      <c r="B49" s="671">
        <f t="shared" si="21"/>
        <v>4815</v>
      </c>
      <c r="C49" s="669" t="s">
        <v>76</v>
      </c>
      <c r="D49" s="677" t="s">
        <v>1013</v>
      </c>
      <c r="E49" s="671">
        <v>4815</v>
      </c>
      <c r="F49" s="678"/>
      <c r="G49" s="671">
        <v>5232200</v>
      </c>
      <c r="H49" s="671">
        <f t="shared" si="12"/>
        <v>491427</v>
      </c>
      <c r="I49" s="669" t="s">
        <v>76</v>
      </c>
      <c r="J49" s="677" t="s">
        <v>1013</v>
      </c>
      <c r="K49" s="671">
        <v>486612</v>
      </c>
      <c r="M49" s="671">
        <v>5262200</v>
      </c>
      <c r="N49" s="679">
        <f t="shared" si="13"/>
        <v>686202</v>
      </c>
      <c r="O49" s="669" t="s">
        <v>76</v>
      </c>
      <c r="P49" s="677" t="s">
        <v>1013</v>
      </c>
      <c r="Q49" s="679">
        <v>194775</v>
      </c>
      <c r="S49" s="671">
        <v>5262200</v>
      </c>
      <c r="T49" s="679">
        <f t="shared" si="14"/>
        <v>991152.9</v>
      </c>
      <c r="U49" s="669" t="s">
        <v>76</v>
      </c>
      <c r="V49" s="677" t="s">
        <v>1013</v>
      </c>
      <c r="W49" s="679">
        <v>304950.9</v>
      </c>
      <c r="Y49" s="671">
        <v>4716200</v>
      </c>
      <c r="Z49" s="671">
        <f t="shared" si="15"/>
        <v>1570101.42</v>
      </c>
      <c r="AA49" s="669" t="s">
        <v>76</v>
      </c>
      <c r="AB49" s="677" t="s">
        <v>1013</v>
      </c>
      <c r="AC49" s="679">
        <v>578948.52</v>
      </c>
      <c r="AE49" s="671">
        <v>4942200</v>
      </c>
      <c r="AF49" s="671">
        <f t="shared" si="22"/>
        <v>1861143.42</v>
      </c>
      <c r="AG49" s="669" t="s">
        <v>76</v>
      </c>
      <c r="AH49" s="677" t="s">
        <v>1013</v>
      </c>
      <c r="AI49" s="679">
        <v>291042</v>
      </c>
      <c r="AK49" s="671">
        <v>5012200</v>
      </c>
      <c r="AL49" s="671">
        <f t="shared" si="16"/>
        <v>2397118.48</v>
      </c>
      <c r="AM49" s="669" t="s">
        <v>76</v>
      </c>
      <c r="AN49" s="677" t="s">
        <v>1013</v>
      </c>
      <c r="AO49" s="679">
        <v>535975.06</v>
      </c>
      <c r="AQ49" s="671">
        <v>4993700</v>
      </c>
      <c r="AR49" s="671">
        <f t="shared" si="23"/>
        <v>2655824.48</v>
      </c>
      <c r="AS49" s="669" t="s">
        <v>76</v>
      </c>
      <c r="AT49" s="677" t="s">
        <v>1013</v>
      </c>
      <c r="AU49" s="679">
        <v>258706</v>
      </c>
      <c r="AW49" s="671">
        <v>5147240</v>
      </c>
      <c r="AX49" s="671">
        <f t="shared" si="17"/>
        <v>3112092.48</v>
      </c>
      <c r="AY49" s="669" t="s">
        <v>76</v>
      </c>
      <c r="AZ49" s="677" t="s">
        <v>1013</v>
      </c>
      <c r="BA49" s="679">
        <f>456348-80</f>
        <v>456268</v>
      </c>
      <c r="BC49" s="671">
        <v>5244894</v>
      </c>
      <c r="BD49" s="671">
        <f t="shared" si="18"/>
        <v>3368242.48</v>
      </c>
      <c r="BE49" s="669" t="s">
        <v>76</v>
      </c>
      <c r="BF49" s="677" t="s">
        <v>1013</v>
      </c>
      <c r="BG49" s="679">
        <v>256150</v>
      </c>
      <c r="BI49" s="671">
        <v>5282394</v>
      </c>
      <c r="BJ49" s="671">
        <f t="shared" si="19"/>
        <v>3697873.48</v>
      </c>
      <c r="BK49" s="669" t="s">
        <v>76</v>
      </c>
      <c r="BL49" s="677" t="s">
        <v>1013</v>
      </c>
      <c r="BM49" s="679">
        <v>329631</v>
      </c>
      <c r="BO49" s="671">
        <v>5043353</v>
      </c>
      <c r="BP49" s="671">
        <f t="shared" si="20"/>
        <v>4426782.48</v>
      </c>
      <c r="BQ49" s="669" t="s">
        <v>76</v>
      </c>
      <c r="BR49" s="677" t="s">
        <v>1013</v>
      </c>
      <c r="BS49" s="680">
        <v>728909</v>
      </c>
      <c r="BT49" s="651">
        <f>1720+20000+19440+117900+728909</f>
        <v>887969</v>
      </c>
    </row>
    <row r="50" spans="1:72" ht="24" customHeight="1">
      <c r="A50" s="671">
        <v>4117600</v>
      </c>
      <c r="B50" s="671">
        <f t="shared" si="21"/>
        <v>0</v>
      </c>
      <c r="C50" s="669" t="s">
        <v>77</v>
      </c>
      <c r="D50" s="677" t="s">
        <v>1014</v>
      </c>
      <c r="E50" s="671">
        <v>0</v>
      </c>
      <c r="F50" s="678"/>
      <c r="G50" s="671">
        <v>4117600</v>
      </c>
      <c r="H50" s="671">
        <f t="shared" si="12"/>
        <v>46760</v>
      </c>
      <c r="I50" s="669" t="s">
        <v>77</v>
      </c>
      <c r="J50" s="677" t="s">
        <v>1014</v>
      </c>
      <c r="K50" s="671">
        <v>46760</v>
      </c>
      <c r="M50" s="671">
        <v>4117600</v>
      </c>
      <c r="N50" s="671">
        <f t="shared" si="13"/>
        <v>253294.8</v>
      </c>
      <c r="O50" s="669" t="s">
        <v>77</v>
      </c>
      <c r="P50" s="677" t="s">
        <v>1014</v>
      </c>
      <c r="Q50" s="671">
        <v>206534.8</v>
      </c>
      <c r="S50" s="671">
        <v>4117600</v>
      </c>
      <c r="T50" s="671">
        <f t="shared" si="14"/>
        <v>489561.31999999995</v>
      </c>
      <c r="U50" s="669" t="s">
        <v>77</v>
      </c>
      <c r="V50" s="677" t="s">
        <v>1014</v>
      </c>
      <c r="W50" s="671">
        <v>236266.52</v>
      </c>
      <c r="Y50" s="671">
        <v>4012600</v>
      </c>
      <c r="Z50" s="671">
        <f t="shared" si="15"/>
        <v>771545.6799999999</v>
      </c>
      <c r="AA50" s="669" t="s">
        <v>77</v>
      </c>
      <c r="AB50" s="677" t="s">
        <v>1014</v>
      </c>
      <c r="AC50" s="671">
        <v>281984.36</v>
      </c>
      <c r="AE50" s="671">
        <v>3932600</v>
      </c>
      <c r="AF50" s="671">
        <f t="shared" si="22"/>
        <v>1179110.48</v>
      </c>
      <c r="AG50" s="669" t="s">
        <v>77</v>
      </c>
      <c r="AH50" s="677" t="s">
        <v>1014</v>
      </c>
      <c r="AI50" s="671">
        <v>407564.8</v>
      </c>
      <c r="AK50" s="671">
        <v>3907600</v>
      </c>
      <c r="AL50" s="671">
        <f t="shared" si="16"/>
        <v>1698793.28</v>
      </c>
      <c r="AM50" s="669" t="s">
        <v>77</v>
      </c>
      <c r="AN50" s="677" t="s">
        <v>1014</v>
      </c>
      <c r="AO50" s="671">
        <v>519682.8</v>
      </c>
      <c r="AQ50" s="671">
        <v>3877600</v>
      </c>
      <c r="AR50" s="671">
        <f t="shared" si="23"/>
        <v>1816353.28</v>
      </c>
      <c r="AS50" s="669" t="s">
        <v>77</v>
      </c>
      <c r="AT50" s="677" t="s">
        <v>1014</v>
      </c>
      <c r="AU50" s="671">
        <v>117560</v>
      </c>
      <c r="AW50" s="671">
        <v>3898600</v>
      </c>
      <c r="AX50" s="671">
        <f t="shared" si="17"/>
        <v>2057613.28</v>
      </c>
      <c r="AY50" s="669" t="s">
        <v>77</v>
      </c>
      <c r="AZ50" s="677" t="s">
        <v>1014</v>
      </c>
      <c r="BA50" s="671">
        <v>241260</v>
      </c>
      <c r="BC50" s="671">
        <v>3885200</v>
      </c>
      <c r="BD50" s="671">
        <f t="shared" si="18"/>
        <v>2526521.44</v>
      </c>
      <c r="BE50" s="669" t="s">
        <v>77</v>
      </c>
      <c r="BF50" s="677" t="s">
        <v>1014</v>
      </c>
      <c r="BG50" s="671">
        <v>468908.16</v>
      </c>
      <c r="BI50" s="671">
        <v>3802300</v>
      </c>
      <c r="BJ50" s="671">
        <f t="shared" si="19"/>
        <v>2607313.44</v>
      </c>
      <c r="BK50" s="669" t="s">
        <v>77</v>
      </c>
      <c r="BL50" s="677" t="s">
        <v>1014</v>
      </c>
      <c r="BM50" s="671">
        <v>80792</v>
      </c>
      <c r="BO50" s="671">
        <v>4009817</v>
      </c>
      <c r="BP50" s="671">
        <f t="shared" si="20"/>
        <v>3727442.9199999995</v>
      </c>
      <c r="BQ50" s="669" t="s">
        <v>77</v>
      </c>
      <c r="BR50" s="677" t="s">
        <v>1014</v>
      </c>
      <c r="BS50" s="680">
        <f>1200129.48-80000</f>
        <v>1120129.48</v>
      </c>
      <c r="BT50" s="651">
        <v>1120129.48</v>
      </c>
    </row>
    <row r="51" spans="1:72" ht="24" customHeight="1">
      <c r="A51" s="671">
        <v>445000</v>
      </c>
      <c r="B51" s="671">
        <f t="shared" si="21"/>
        <v>19711.77</v>
      </c>
      <c r="C51" s="669" t="s">
        <v>51</v>
      </c>
      <c r="D51" s="677" t="s">
        <v>1015</v>
      </c>
      <c r="E51" s="671">
        <v>19711.77</v>
      </c>
      <c r="F51" s="678"/>
      <c r="G51" s="671">
        <v>445000</v>
      </c>
      <c r="H51" s="671">
        <f t="shared" si="12"/>
        <v>65483.78</v>
      </c>
      <c r="I51" s="669" t="s">
        <v>51</v>
      </c>
      <c r="J51" s="677" t="s">
        <v>1015</v>
      </c>
      <c r="K51" s="671">
        <v>45772.01</v>
      </c>
      <c r="M51" s="671">
        <v>445000</v>
      </c>
      <c r="N51" s="671">
        <f t="shared" si="13"/>
        <v>83394.92</v>
      </c>
      <c r="O51" s="669" t="s">
        <v>51</v>
      </c>
      <c r="P51" s="677" t="s">
        <v>1015</v>
      </c>
      <c r="Q51" s="671">
        <v>17911.14</v>
      </c>
      <c r="S51" s="671">
        <v>445000</v>
      </c>
      <c r="T51" s="671">
        <f t="shared" si="14"/>
        <v>83394.92</v>
      </c>
      <c r="U51" s="669" t="s">
        <v>51</v>
      </c>
      <c r="V51" s="677" t="s">
        <v>1015</v>
      </c>
      <c r="W51" s="671">
        <v>0</v>
      </c>
      <c r="Y51" s="671">
        <v>335000</v>
      </c>
      <c r="Z51" s="671">
        <f t="shared" si="15"/>
        <v>125243.76</v>
      </c>
      <c r="AA51" s="669" t="s">
        <v>51</v>
      </c>
      <c r="AB51" s="677" t="s">
        <v>1015</v>
      </c>
      <c r="AC51" s="671">
        <v>41848.84</v>
      </c>
      <c r="AE51" s="671">
        <v>335000</v>
      </c>
      <c r="AF51" s="671">
        <f t="shared" si="22"/>
        <v>132922.08</v>
      </c>
      <c r="AG51" s="669" t="s">
        <v>51</v>
      </c>
      <c r="AH51" s="677" t="s">
        <v>1015</v>
      </c>
      <c r="AI51" s="671">
        <v>7678.32</v>
      </c>
      <c r="AK51" s="671">
        <v>335000</v>
      </c>
      <c r="AL51" s="671">
        <f t="shared" si="16"/>
        <v>163202.11</v>
      </c>
      <c r="AM51" s="669" t="s">
        <v>51</v>
      </c>
      <c r="AN51" s="677" t="s">
        <v>1015</v>
      </c>
      <c r="AO51" s="671">
        <v>30280.03</v>
      </c>
      <c r="AQ51" s="671">
        <v>335000</v>
      </c>
      <c r="AR51" s="671">
        <f t="shared" si="23"/>
        <v>210552.50999999998</v>
      </c>
      <c r="AS51" s="669" t="s">
        <v>51</v>
      </c>
      <c r="AT51" s="677" t="s">
        <v>1015</v>
      </c>
      <c r="AU51" s="671">
        <v>47350.4</v>
      </c>
      <c r="AW51" s="671">
        <v>335000</v>
      </c>
      <c r="AX51" s="671">
        <f t="shared" si="17"/>
        <v>242455.11999999997</v>
      </c>
      <c r="AY51" s="669" t="s">
        <v>51</v>
      </c>
      <c r="AZ51" s="677" t="s">
        <v>1015</v>
      </c>
      <c r="BA51" s="671">
        <v>31902.61</v>
      </c>
      <c r="BC51" s="671">
        <v>335000</v>
      </c>
      <c r="BD51" s="671">
        <f t="shared" si="18"/>
        <v>272282.66000000003</v>
      </c>
      <c r="BE51" s="669" t="s">
        <v>51</v>
      </c>
      <c r="BF51" s="677" t="s">
        <v>1015</v>
      </c>
      <c r="BG51" s="671">
        <v>29827.54</v>
      </c>
      <c r="BI51" s="671">
        <v>345000</v>
      </c>
      <c r="BJ51" s="671">
        <f t="shared" si="19"/>
        <v>298550.79000000004</v>
      </c>
      <c r="BK51" s="669" t="s">
        <v>51</v>
      </c>
      <c r="BL51" s="677" t="s">
        <v>1015</v>
      </c>
      <c r="BM51" s="671">
        <v>26268.13</v>
      </c>
      <c r="BO51" s="671">
        <v>345000</v>
      </c>
      <c r="BP51" s="671">
        <f t="shared" si="20"/>
        <v>333889.52</v>
      </c>
      <c r="BQ51" s="669" t="s">
        <v>51</v>
      </c>
      <c r="BR51" s="677" t="s">
        <v>1015</v>
      </c>
      <c r="BS51" s="680">
        <v>35338.73</v>
      </c>
      <c r="BT51" s="651">
        <v>35338.73</v>
      </c>
    </row>
    <row r="52" spans="1:72" ht="24" customHeight="1">
      <c r="A52" s="671">
        <v>4355029</v>
      </c>
      <c r="B52" s="671">
        <f t="shared" si="21"/>
        <v>0</v>
      </c>
      <c r="C52" s="669" t="s">
        <v>52</v>
      </c>
      <c r="D52" s="677" t="s">
        <v>1016</v>
      </c>
      <c r="E52" s="671"/>
      <c r="F52" s="678"/>
      <c r="G52" s="671">
        <v>4355029</v>
      </c>
      <c r="H52" s="671">
        <f t="shared" si="12"/>
        <v>673600</v>
      </c>
      <c r="I52" s="669" t="s">
        <v>52</v>
      </c>
      <c r="J52" s="677" t="s">
        <v>1016</v>
      </c>
      <c r="K52" s="671">
        <v>673600</v>
      </c>
      <c r="M52" s="671">
        <v>4355029</v>
      </c>
      <c r="N52" s="671">
        <f t="shared" si="13"/>
        <v>688600</v>
      </c>
      <c r="O52" s="669" t="s">
        <v>52</v>
      </c>
      <c r="P52" s="677" t="s">
        <v>1016</v>
      </c>
      <c r="Q52" s="671">
        <v>15000</v>
      </c>
      <c r="S52" s="671">
        <v>4355029</v>
      </c>
      <c r="T52" s="671">
        <f t="shared" si="14"/>
        <v>1730840</v>
      </c>
      <c r="U52" s="669" t="s">
        <v>52</v>
      </c>
      <c r="V52" s="677" t="s">
        <v>1016</v>
      </c>
      <c r="W52" s="671">
        <v>1042240</v>
      </c>
      <c r="Y52" s="671">
        <v>4355029</v>
      </c>
      <c r="Z52" s="671">
        <f t="shared" si="15"/>
        <v>1830840</v>
      </c>
      <c r="AA52" s="669" t="s">
        <v>52</v>
      </c>
      <c r="AB52" s="677" t="s">
        <v>1016</v>
      </c>
      <c r="AC52" s="671">
        <v>100000</v>
      </c>
      <c r="AE52" s="671">
        <v>4355029</v>
      </c>
      <c r="AF52" s="671">
        <f t="shared" si="22"/>
        <v>2004840</v>
      </c>
      <c r="AG52" s="669" t="s">
        <v>52</v>
      </c>
      <c r="AH52" s="677" t="s">
        <v>1016</v>
      </c>
      <c r="AI52" s="671">
        <v>174000</v>
      </c>
      <c r="AK52" s="671">
        <v>4355029</v>
      </c>
      <c r="AL52" s="671">
        <f t="shared" si="16"/>
        <v>2004840</v>
      </c>
      <c r="AM52" s="669" t="s">
        <v>52</v>
      </c>
      <c r="AN52" s="677" t="s">
        <v>1016</v>
      </c>
      <c r="AO52" s="671">
        <v>0</v>
      </c>
      <c r="AQ52" s="671">
        <v>4355029</v>
      </c>
      <c r="AR52" s="671">
        <f t="shared" si="23"/>
        <v>2914200</v>
      </c>
      <c r="AS52" s="669" t="s">
        <v>52</v>
      </c>
      <c r="AT52" s="677" t="s">
        <v>1016</v>
      </c>
      <c r="AU52" s="671">
        <v>909360</v>
      </c>
      <c r="AW52" s="671">
        <v>4330029</v>
      </c>
      <c r="AX52" s="671">
        <f t="shared" si="17"/>
        <v>2914200</v>
      </c>
      <c r="AY52" s="669" t="s">
        <v>52</v>
      </c>
      <c r="AZ52" s="677" t="s">
        <v>1016</v>
      </c>
      <c r="BA52" s="671"/>
      <c r="BC52" s="671">
        <v>4330029</v>
      </c>
      <c r="BD52" s="671">
        <f t="shared" si="18"/>
        <v>2919200</v>
      </c>
      <c r="BE52" s="669" t="s">
        <v>52</v>
      </c>
      <c r="BF52" s="677" t="s">
        <v>1016</v>
      </c>
      <c r="BG52" s="671">
        <v>5000</v>
      </c>
      <c r="BI52" s="671">
        <v>4355029</v>
      </c>
      <c r="BJ52" s="671">
        <f t="shared" si="19"/>
        <v>2919200</v>
      </c>
      <c r="BK52" s="669" t="s">
        <v>52</v>
      </c>
      <c r="BL52" s="677" t="s">
        <v>1016</v>
      </c>
      <c r="BM52" s="671">
        <v>0</v>
      </c>
      <c r="BO52" s="671">
        <v>4305029</v>
      </c>
      <c r="BP52" s="671">
        <f t="shared" si="20"/>
        <v>4150853.5300000003</v>
      </c>
      <c r="BQ52" s="669" t="s">
        <v>52</v>
      </c>
      <c r="BR52" s="677" t="s">
        <v>1016</v>
      </c>
      <c r="BS52" s="680">
        <v>1231653.53</v>
      </c>
      <c r="BT52" s="651">
        <v>1231653.53</v>
      </c>
    </row>
    <row r="53" spans="1:72" ht="24" customHeight="1">
      <c r="A53" s="671">
        <v>2856040</v>
      </c>
      <c r="B53" s="671">
        <f t="shared" si="21"/>
        <v>0</v>
      </c>
      <c r="C53" s="669" t="s">
        <v>54</v>
      </c>
      <c r="D53" s="677" t="s">
        <v>1017</v>
      </c>
      <c r="E53" s="675"/>
      <c r="F53" s="681"/>
      <c r="G53" s="671">
        <v>2856040</v>
      </c>
      <c r="H53" s="671">
        <f t="shared" si="12"/>
        <v>0</v>
      </c>
      <c r="I53" s="669" t="s">
        <v>54</v>
      </c>
      <c r="J53" s="677" t="s">
        <v>1017</v>
      </c>
      <c r="K53" s="675"/>
      <c r="M53" s="671">
        <v>2856040</v>
      </c>
      <c r="N53" s="671">
        <f t="shared" si="13"/>
        <v>0</v>
      </c>
      <c r="O53" s="669" t="s">
        <v>54</v>
      </c>
      <c r="P53" s="677" t="s">
        <v>1017</v>
      </c>
      <c r="Q53" s="675"/>
      <c r="S53" s="671">
        <v>2856040</v>
      </c>
      <c r="T53" s="671">
        <f t="shared" si="14"/>
        <v>63000</v>
      </c>
      <c r="U53" s="669" t="s">
        <v>54</v>
      </c>
      <c r="V53" s="677" t="s">
        <v>1017</v>
      </c>
      <c r="W53" s="675">
        <v>63000</v>
      </c>
      <c r="Y53" s="671">
        <v>2856040</v>
      </c>
      <c r="Z53" s="671">
        <f t="shared" si="15"/>
        <v>189000</v>
      </c>
      <c r="AA53" s="669" t="s">
        <v>54</v>
      </c>
      <c r="AB53" s="677" t="s">
        <v>1017</v>
      </c>
      <c r="AC53" s="675">
        <v>126000</v>
      </c>
      <c r="AE53" s="671">
        <v>2856040</v>
      </c>
      <c r="AF53" s="671">
        <f t="shared" si="22"/>
        <v>220010</v>
      </c>
      <c r="AG53" s="669" t="s">
        <v>54</v>
      </c>
      <c r="AH53" s="677" t="s">
        <v>1017</v>
      </c>
      <c r="AI53" s="675">
        <v>31010</v>
      </c>
      <c r="AK53" s="671">
        <v>2856040</v>
      </c>
      <c r="AL53" s="671">
        <f t="shared" si="16"/>
        <v>233010</v>
      </c>
      <c r="AM53" s="669" t="s">
        <v>54</v>
      </c>
      <c r="AN53" s="677" t="s">
        <v>1017</v>
      </c>
      <c r="AO53" s="675">
        <v>13000</v>
      </c>
      <c r="AQ53" s="671">
        <v>2856040</v>
      </c>
      <c r="AR53" s="671">
        <f t="shared" si="23"/>
        <v>263010</v>
      </c>
      <c r="AS53" s="669" t="s">
        <v>54</v>
      </c>
      <c r="AT53" s="677" t="s">
        <v>1017</v>
      </c>
      <c r="AU53" s="675">
        <v>30000</v>
      </c>
      <c r="AW53" s="671">
        <v>2747040</v>
      </c>
      <c r="AX53" s="671">
        <f t="shared" si="17"/>
        <v>263010</v>
      </c>
      <c r="AY53" s="669" t="s">
        <v>54</v>
      </c>
      <c r="AZ53" s="677" t="s">
        <v>1017</v>
      </c>
      <c r="BA53" s="675"/>
      <c r="BC53" s="671">
        <v>2747040</v>
      </c>
      <c r="BD53" s="671">
        <f t="shared" si="18"/>
        <v>362010</v>
      </c>
      <c r="BE53" s="669" t="s">
        <v>54</v>
      </c>
      <c r="BF53" s="677" t="s">
        <v>1017</v>
      </c>
      <c r="BG53" s="675">
        <v>99000</v>
      </c>
      <c r="BI53" s="671">
        <v>2726540</v>
      </c>
      <c r="BJ53" s="671">
        <f t="shared" si="19"/>
        <v>392010</v>
      </c>
      <c r="BK53" s="669" t="s">
        <v>54</v>
      </c>
      <c r="BL53" s="677" t="s">
        <v>1017</v>
      </c>
      <c r="BM53" s="675">
        <v>30000</v>
      </c>
      <c r="BO53" s="671">
        <v>2726540</v>
      </c>
      <c r="BP53" s="671">
        <f t="shared" si="20"/>
        <v>487320</v>
      </c>
      <c r="BQ53" s="669" t="s">
        <v>54</v>
      </c>
      <c r="BR53" s="677" t="s">
        <v>1017</v>
      </c>
      <c r="BS53" s="683">
        <f>2138510-2043200</f>
        <v>95310</v>
      </c>
      <c r="BT53" s="651">
        <v>95310</v>
      </c>
    </row>
    <row r="54" spans="1:74" ht="24" customHeight="1">
      <c r="A54" s="671">
        <v>7727628</v>
      </c>
      <c r="B54" s="671">
        <f t="shared" si="21"/>
        <v>0</v>
      </c>
      <c r="C54" s="669" t="s">
        <v>55</v>
      </c>
      <c r="D54" s="677" t="s">
        <v>1018</v>
      </c>
      <c r="E54" s="675"/>
      <c r="F54" s="681"/>
      <c r="G54" s="671">
        <v>7727628</v>
      </c>
      <c r="H54" s="671">
        <f t="shared" si="12"/>
        <v>0</v>
      </c>
      <c r="I54" s="669" t="s">
        <v>55</v>
      </c>
      <c r="J54" s="677" t="s">
        <v>1018</v>
      </c>
      <c r="K54" s="675"/>
      <c r="M54" s="671">
        <v>7727628</v>
      </c>
      <c r="N54" s="671">
        <f t="shared" si="13"/>
        <v>0</v>
      </c>
      <c r="O54" s="669" t="s">
        <v>55</v>
      </c>
      <c r="P54" s="677" t="s">
        <v>1018</v>
      </c>
      <c r="Q54" s="675"/>
      <c r="S54" s="671">
        <v>7727628</v>
      </c>
      <c r="T54" s="671">
        <f t="shared" si="14"/>
        <v>0</v>
      </c>
      <c r="U54" s="669" t="s">
        <v>55</v>
      </c>
      <c r="V54" s="677" t="s">
        <v>1018</v>
      </c>
      <c r="W54" s="675"/>
      <c r="Y54" s="671">
        <v>7727628</v>
      </c>
      <c r="Z54" s="671">
        <f t="shared" si="15"/>
        <v>682800</v>
      </c>
      <c r="AA54" s="669" t="s">
        <v>55</v>
      </c>
      <c r="AB54" s="677" t="s">
        <v>1018</v>
      </c>
      <c r="AC54" s="675">
        <v>682800</v>
      </c>
      <c r="AE54" s="671">
        <v>7727628</v>
      </c>
      <c r="AF54" s="671">
        <f t="shared" si="22"/>
        <v>1064500</v>
      </c>
      <c r="AG54" s="669" t="s">
        <v>55</v>
      </c>
      <c r="AH54" s="677" t="s">
        <v>1018</v>
      </c>
      <c r="AI54" s="675">
        <v>381700</v>
      </c>
      <c r="AK54" s="671">
        <v>7727628</v>
      </c>
      <c r="AL54" s="671">
        <f t="shared" si="16"/>
        <v>2678300</v>
      </c>
      <c r="AM54" s="669" t="s">
        <v>55</v>
      </c>
      <c r="AN54" s="677" t="s">
        <v>1018</v>
      </c>
      <c r="AO54" s="675">
        <v>1613800</v>
      </c>
      <c r="AQ54" s="671">
        <v>7727628</v>
      </c>
      <c r="AR54" s="671">
        <f t="shared" si="23"/>
        <v>2931300</v>
      </c>
      <c r="AS54" s="669" t="s">
        <v>55</v>
      </c>
      <c r="AT54" s="677" t="s">
        <v>1018</v>
      </c>
      <c r="AU54" s="675">
        <v>253000</v>
      </c>
      <c r="AW54" s="671">
        <v>7727628</v>
      </c>
      <c r="AX54" s="671">
        <f t="shared" si="17"/>
        <v>3118200</v>
      </c>
      <c r="AY54" s="669" t="s">
        <v>55</v>
      </c>
      <c r="AZ54" s="677" t="s">
        <v>1018</v>
      </c>
      <c r="BA54" s="675">
        <v>186900</v>
      </c>
      <c r="BC54" s="671">
        <v>7727628</v>
      </c>
      <c r="BD54" s="671">
        <f t="shared" si="18"/>
        <v>4657200</v>
      </c>
      <c r="BE54" s="669" t="s">
        <v>55</v>
      </c>
      <c r="BF54" s="677" t="s">
        <v>1018</v>
      </c>
      <c r="BG54" s="675">
        <v>1539000</v>
      </c>
      <c r="BI54" s="671">
        <v>7727628</v>
      </c>
      <c r="BJ54" s="671">
        <f t="shared" si="19"/>
        <v>5087100</v>
      </c>
      <c r="BK54" s="669" t="s">
        <v>55</v>
      </c>
      <c r="BL54" s="677" t="s">
        <v>1018</v>
      </c>
      <c r="BM54" s="675">
        <v>429900</v>
      </c>
      <c r="BO54" s="671">
        <v>7727628</v>
      </c>
      <c r="BP54" s="671">
        <f t="shared" si="20"/>
        <v>7659681.38</v>
      </c>
      <c r="BQ54" s="669" t="s">
        <v>55</v>
      </c>
      <c r="BR54" s="677" t="s">
        <v>1018</v>
      </c>
      <c r="BS54" s="683">
        <v>2572581.38</v>
      </c>
      <c r="BT54" s="651">
        <v>2572581.38</v>
      </c>
      <c r="BU54" s="651">
        <f>SUM(BS44:BS54)</f>
        <v>7063214.31</v>
      </c>
      <c r="BV54" s="673">
        <f>+BU54-BT55</f>
        <v>-167060</v>
      </c>
    </row>
    <row r="55" spans="1:72" ht="24" customHeight="1">
      <c r="A55" s="671"/>
      <c r="B55" s="671"/>
      <c r="C55" s="669"/>
      <c r="D55" s="677"/>
      <c r="E55" s="675"/>
      <c r="F55" s="681"/>
      <c r="G55" s="671"/>
      <c r="H55" s="671"/>
      <c r="I55" s="669"/>
      <c r="J55" s="677"/>
      <c r="K55" s="675"/>
      <c r="M55" s="671"/>
      <c r="N55" s="671"/>
      <c r="O55" s="669"/>
      <c r="P55" s="677"/>
      <c r="Q55" s="675"/>
      <c r="S55" s="671"/>
      <c r="T55" s="671"/>
      <c r="U55" s="669"/>
      <c r="V55" s="677"/>
      <c r="W55" s="675"/>
      <c r="Y55" s="671">
        <v>1630900</v>
      </c>
      <c r="Z55" s="671">
        <f t="shared" si="15"/>
        <v>1229373.78</v>
      </c>
      <c r="AA55" s="669" t="s">
        <v>78</v>
      </c>
      <c r="AB55" s="677"/>
      <c r="AC55" s="675">
        <v>1229373.78</v>
      </c>
      <c r="AE55" s="671">
        <v>1630900</v>
      </c>
      <c r="AF55" s="671">
        <f t="shared" si="22"/>
        <v>1229373.78</v>
      </c>
      <c r="AG55" s="669" t="s">
        <v>78</v>
      </c>
      <c r="AH55" s="677"/>
      <c r="AI55" s="675">
        <v>0</v>
      </c>
      <c r="AK55" s="671">
        <v>1565677.83</v>
      </c>
      <c r="AL55" s="671">
        <f t="shared" si="16"/>
        <v>1229373.78</v>
      </c>
      <c r="AM55" s="669" t="s">
        <v>78</v>
      </c>
      <c r="AN55" s="677"/>
      <c r="AO55" s="675">
        <v>0</v>
      </c>
      <c r="AQ55" s="671">
        <v>1535677.83</v>
      </c>
      <c r="AR55" s="671">
        <f t="shared" si="23"/>
        <v>1229373.78</v>
      </c>
      <c r="AS55" s="669" t="s">
        <v>78</v>
      </c>
      <c r="AT55" s="677"/>
      <c r="AU55" s="675">
        <v>0</v>
      </c>
      <c r="AW55" s="671">
        <v>1495677.83</v>
      </c>
      <c r="AX55" s="671">
        <f t="shared" si="17"/>
        <v>1229373.78</v>
      </c>
      <c r="AY55" s="669" t="s">
        <v>78</v>
      </c>
      <c r="AZ55" s="677"/>
      <c r="BA55" s="675"/>
      <c r="BC55" s="671">
        <v>1495677.83</v>
      </c>
      <c r="BD55" s="671">
        <f t="shared" si="18"/>
        <v>1229373.78</v>
      </c>
      <c r="BE55" s="669" t="s">
        <v>78</v>
      </c>
      <c r="BF55" s="677"/>
      <c r="BG55" s="675"/>
      <c r="BI55" s="671">
        <v>1378532.83</v>
      </c>
      <c r="BJ55" s="671">
        <f t="shared" si="19"/>
        <v>1229373.78</v>
      </c>
      <c r="BK55" s="669" t="s">
        <v>78</v>
      </c>
      <c r="BL55" s="677"/>
      <c r="BM55" s="675">
        <v>0</v>
      </c>
      <c r="BO55" s="671">
        <f>1221041.83+10000</f>
        <v>1231041.83</v>
      </c>
      <c r="BP55" s="680">
        <f t="shared" si="20"/>
        <v>1229373.78</v>
      </c>
      <c r="BQ55" s="669" t="s">
        <v>78</v>
      </c>
      <c r="BR55" s="677"/>
      <c r="BS55" s="683"/>
      <c r="BT55" s="651">
        <f>SUM(BT44:BT54)</f>
        <v>7230274.31</v>
      </c>
    </row>
    <row r="56" spans="1:72" ht="24" customHeight="1">
      <c r="A56" s="671"/>
      <c r="B56" s="671">
        <f t="shared" si="21"/>
        <v>0</v>
      </c>
      <c r="C56" s="669" t="s">
        <v>1019</v>
      </c>
      <c r="D56" s="677" t="s">
        <v>1020</v>
      </c>
      <c r="E56" s="675"/>
      <c r="F56" s="681"/>
      <c r="G56" s="671"/>
      <c r="H56" s="671">
        <f t="shared" si="12"/>
        <v>0</v>
      </c>
      <c r="I56" s="669" t="s">
        <v>1019</v>
      </c>
      <c r="J56" s="677" t="s">
        <v>1020</v>
      </c>
      <c r="K56" s="675"/>
      <c r="M56" s="671"/>
      <c r="N56" s="671">
        <f t="shared" si="13"/>
        <v>145500</v>
      </c>
      <c r="O56" s="669" t="s">
        <v>1019</v>
      </c>
      <c r="P56" s="677" t="s">
        <v>1020</v>
      </c>
      <c r="Q56" s="675">
        <v>145500</v>
      </c>
      <c r="S56" s="671"/>
      <c r="T56" s="685">
        <v>4095900</v>
      </c>
      <c r="U56" s="669" t="s">
        <v>1019</v>
      </c>
      <c r="V56" s="677" t="s">
        <v>1020</v>
      </c>
      <c r="W56" s="675">
        <v>1015600</v>
      </c>
      <c r="Y56" s="671"/>
      <c r="Z56" s="685">
        <f>4095900+AC56</f>
        <v>4241400</v>
      </c>
      <c r="AA56" s="669" t="s">
        <v>1019</v>
      </c>
      <c r="AB56" s="677" t="s">
        <v>1020</v>
      </c>
      <c r="AC56" s="675">
        <v>145500</v>
      </c>
      <c r="AE56" s="671"/>
      <c r="AF56" s="685">
        <f>4095900+AI56+AC56</f>
        <v>6121900</v>
      </c>
      <c r="AG56" s="669" t="s">
        <v>1019</v>
      </c>
      <c r="AH56" s="677" t="s">
        <v>1020</v>
      </c>
      <c r="AI56" s="675">
        <v>1880500</v>
      </c>
      <c r="AK56" s="671"/>
      <c r="AL56" s="685">
        <f>4095900+AO56+AI56+145500</f>
        <v>7133400</v>
      </c>
      <c r="AM56" s="669" t="s">
        <v>1019</v>
      </c>
      <c r="AN56" s="677" t="s">
        <v>1020</v>
      </c>
      <c r="AO56" s="675">
        <v>1011500</v>
      </c>
      <c r="AQ56" s="671"/>
      <c r="AR56" s="685">
        <f>4095900+AU56+AO56+145500+AI56</f>
        <v>8142500</v>
      </c>
      <c r="AS56" s="669" t="s">
        <v>1019</v>
      </c>
      <c r="AT56" s="677" t="s">
        <v>1020</v>
      </c>
      <c r="AU56" s="675">
        <v>1009100</v>
      </c>
      <c r="AW56" s="671"/>
      <c r="AX56" s="685">
        <f>4095900+BA56+AU56+145500+AO56+AI56</f>
        <v>9138100</v>
      </c>
      <c r="AY56" s="669" t="s">
        <v>1019</v>
      </c>
      <c r="AZ56" s="677" t="s">
        <v>1020</v>
      </c>
      <c r="BA56" s="675">
        <v>995600</v>
      </c>
      <c r="BC56" s="671"/>
      <c r="BD56" s="679">
        <f>+AU56+BA56+BG56+AO56+AI56+AC56+W56+Q56+K56+E56+2934800</f>
        <v>10141100</v>
      </c>
      <c r="BE56" s="669" t="s">
        <v>1019</v>
      </c>
      <c r="BF56" s="677" t="s">
        <v>1020</v>
      </c>
      <c r="BG56" s="675">
        <f>1009500-6500</f>
        <v>1003000</v>
      </c>
      <c r="BI56" s="671"/>
      <c r="BJ56" s="679">
        <f>+BA56+BG56+BM56+AU56+AO56+AI56+AC56+W56+Q56+K56+2934800</f>
        <v>11147200</v>
      </c>
      <c r="BK56" s="669" t="s">
        <v>1019</v>
      </c>
      <c r="BL56" s="677" t="s">
        <v>1020</v>
      </c>
      <c r="BM56" s="675">
        <v>1006100</v>
      </c>
      <c r="BO56" s="671"/>
      <c r="BP56" s="680">
        <f>+BG56+BM56+BS56+BA56+AU56+AO56+AI56+AC56+W56+Q56+2934800</f>
        <v>12146600</v>
      </c>
      <c r="BQ56" s="669" t="s">
        <v>1019</v>
      </c>
      <c r="BR56" s="677" t="s">
        <v>1020</v>
      </c>
      <c r="BS56" s="683">
        <f>999400</f>
        <v>999400</v>
      </c>
      <c r="BT56" s="651">
        <v>11200</v>
      </c>
    </row>
    <row r="57" spans="1:72" ht="24" customHeight="1">
      <c r="A57" s="675"/>
      <c r="B57" s="671">
        <f>+E57</f>
        <v>0</v>
      </c>
      <c r="C57" s="669" t="s">
        <v>1021</v>
      </c>
      <c r="D57" s="677"/>
      <c r="E57" s="671"/>
      <c r="F57" s="678"/>
      <c r="G57" s="675"/>
      <c r="H57" s="671">
        <f>+E57+K57</f>
        <v>0</v>
      </c>
      <c r="I57" s="669" t="s">
        <v>1021</v>
      </c>
      <c r="J57" s="677"/>
      <c r="K57" s="671"/>
      <c r="M57" s="675"/>
      <c r="N57" s="671">
        <f>+E57+K57+Q57</f>
        <v>40000</v>
      </c>
      <c r="O57" s="669" t="s">
        <v>1021</v>
      </c>
      <c r="P57" s="677"/>
      <c r="Q57" s="671">
        <v>40000</v>
      </c>
      <c r="S57" s="675"/>
      <c r="T57" s="685">
        <v>629000</v>
      </c>
      <c r="U57" s="669" t="s">
        <v>1021</v>
      </c>
      <c r="V57" s="677"/>
      <c r="W57" s="671">
        <v>155500</v>
      </c>
      <c r="Y57" s="675"/>
      <c r="Z57" s="685">
        <f>629000+AC57</f>
        <v>973600</v>
      </c>
      <c r="AA57" s="669" t="s">
        <v>1021</v>
      </c>
      <c r="AB57" s="677"/>
      <c r="AC57" s="671">
        <v>344600</v>
      </c>
      <c r="AE57" s="675"/>
      <c r="AF57" s="685">
        <f>629000+AI57+AC57</f>
        <v>1504100</v>
      </c>
      <c r="AG57" s="669" t="s">
        <v>1021</v>
      </c>
      <c r="AH57" s="677"/>
      <c r="AI57" s="671">
        <v>530500</v>
      </c>
      <c r="AK57" s="675"/>
      <c r="AL57" s="685">
        <f>629000+AO57+AI57+344600</f>
        <v>1752900</v>
      </c>
      <c r="AM57" s="669" t="s">
        <v>1021</v>
      </c>
      <c r="AN57" s="677"/>
      <c r="AO57" s="671">
        <v>248800</v>
      </c>
      <c r="AQ57" s="675"/>
      <c r="AR57" s="685">
        <f>629000+AU57+AO57+344600+AI57</f>
        <v>1997700</v>
      </c>
      <c r="AS57" s="669" t="s">
        <v>1021</v>
      </c>
      <c r="AT57" s="677"/>
      <c r="AU57" s="671">
        <v>244800</v>
      </c>
      <c r="AW57" s="675"/>
      <c r="AX57" s="685">
        <f>629000+BA57+AU57+344600+AO57+AI57</f>
        <v>2248900</v>
      </c>
      <c r="AY57" s="669" t="s">
        <v>1021</v>
      </c>
      <c r="AZ57" s="677"/>
      <c r="BA57" s="671">
        <v>251200</v>
      </c>
      <c r="BC57" s="675"/>
      <c r="BD57" s="679">
        <f>+AU57+BA57+BG57+AO57+AI57+AC57+W57+Q57+K57+E57+433500</f>
        <v>2494500</v>
      </c>
      <c r="BE57" s="669" t="s">
        <v>1021</v>
      </c>
      <c r="BF57" s="677"/>
      <c r="BG57" s="671">
        <v>245600</v>
      </c>
      <c r="BI57" s="675"/>
      <c r="BJ57" s="679">
        <f>+BA57+BG57+BM57+AU57+AO57+AI57+AC57+W57+Q57+K57+433500</f>
        <v>2740100</v>
      </c>
      <c r="BK57" s="669" t="s">
        <v>1021</v>
      </c>
      <c r="BL57" s="677"/>
      <c r="BM57" s="671">
        <v>245600</v>
      </c>
      <c r="BO57" s="675"/>
      <c r="BP57" s="680">
        <f>+BG57+BM57+BS57+BA57+AU57+AO57+AI57+AC57+W57+Q57+433500</f>
        <v>2980900</v>
      </c>
      <c r="BQ57" s="669" t="s">
        <v>1021</v>
      </c>
      <c r="BR57" s="677"/>
      <c r="BS57" s="680">
        <f>238400+2400</f>
        <v>240800</v>
      </c>
      <c r="BT57" s="651">
        <v>2400</v>
      </c>
    </row>
    <row r="58" spans="1:71" ht="24" customHeight="1">
      <c r="A58" s="671"/>
      <c r="B58" s="671">
        <f>+E58</f>
        <v>0</v>
      </c>
      <c r="C58" s="688" t="s">
        <v>1022</v>
      </c>
      <c r="D58" s="722"/>
      <c r="E58" s="671"/>
      <c r="F58" s="678"/>
      <c r="G58" s="671"/>
      <c r="H58" s="671">
        <f>+E58+K58</f>
        <v>0</v>
      </c>
      <c r="I58" s="688" t="s">
        <v>1022</v>
      </c>
      <c r="J58" s="722"/>
      <c r="K58" s="671"/>
      <c r="M58" s="671"/>
      <c r="N58" s="671">
        <f>+E58+K58+Q58</f>
        <v>5625</v>
      </c>
      <c r="O58" s="688" t="s">
        <v>1022</v>
      </c>
      <c r="P58" s="722"/>
      <c r="Q58" s="671">
        <v>5625</v>
      </c>
      <c r="S58" s="671"/>
      <c r="T58" s="671">
        <f>+K58+Q58+W58+E58</f>
        <v>15525</v>
      </c>
      <c r="U58" s="688" t="s">
        <v>1023</v>
      </c>
      <c r="V58" s="722"/>
      <c r="W58" s="679">
        <f>9900</f>
        <v>9900</v>
      </c>
      <c r="Y58" s="671"/>
      <c r="Z58" s="671">
        <f aca="true" t="shared" si="24" ref="Z58:Z69">+Q58+W58+AC58+K58+E58</f>
        <v>20475</v>
      </c>
      <c r="AA58" s="688" t="s">
        <v>1023</v>
      </c>
      <c r="AB58" s="722"/>
      <c r="AC58" s="680">
        <v>4950</v>
      </c>
      <c r="AE58" s="671"/>
      <c r="AF58" s="671">
        <f aca="true" t="shared" si="25" ref="AF58:AF70">+W58+AC58+AI58+Q58+K58+E58</f>
        <v>20475</v>
      </c>
      <c r="AG58" s="688" t="s">
        <v>1023</v>
      </c>
      <c r="AH58" s="722"/>
      <c r="AI58" s="680"/>
      <c r="AK58" s="671"/>
      <c r="AL58" s="671">
        <f aca="true" t="shared" si="26" ref="AL58:AL72">+AC58+AI58+AO58+W58+Q58+K58+E58</f>
        <v>24150</v>
      </c>
      <c r="AM58" s="688" t="s">
        <v>1023</v>
      </c>
      <c r="AN58" s="722"/>
      <c r="AO58" s="680">
        <v>3675</v>
      </c>
      <c r="AQ58" s="671"/>
      <c r="AR58" s="671">
        <f aca="true" t="shared" si="27" ref="AR58:AR72">+AI58+AO58+AU58+AC58+W58+Q58+K58+E58</f>
        <v>31500</v>
      </c>
      <c r="AS58" s="688" t="s">
        <v>1023</v>
      </c>
      <c r="AT58" s="722"/>
      <c r="AU58" s="680">
        <v>7350</v>
      </c>
      <c r="AW58" s="671"/>
      <c r="AX58" s="671">
        <f>+AO58+AU58+BA58+AI58+AC58+W58+Q58+K58</f>
        <v>35175</v>
      </c>
      <c r="AY58" s="688" t="s">
        <v>1023</v>
      </c>
      <c r="AZ58" s="722"/>
      <c r="BA58" s="680">
        <v>3675</v>
      </c>
      <c r="BC58" s="671"/>
      <c r="BD58" s="671">
        <f>+AU58+BA58+BG58+AO58+AI58+AC58+W58+Q58</f>
        <v>38850</v>
      </c>
      <c r="BE58" s="688" t="s">
        <v>1023</v>
      </c>
      <c r="BF58" s="722"/>
      <c r="BG58" s="680">
        <v>3675</v>
      </c>
      <c r="BI58" s="671"/>
      <c r="BJ58" s="671">
        <f aca="true" t="shared" si="28" ref="BJ58:BJ72">+BA58+BG58+BM58+AU58+AO58+AI58+AC58+W58+Q58+K58+E58</f>
        <v>43200</v>
      </c>
      <c r="BK58" s="688" t="s">
        <v>1023</v>
      </c>
      <c r="BL58" s="722"/>
      <c r="BM58" s="680">
        <f>675+3675</f>
        <v>4350</v>
      </c>
      <c r="BO58" s="671"/>
      <c r="BP58" s="680">
        <f aca="true" t="shared" si="29" ref="BP58:BP72">+BG58+BM58+BS58+BA58+AU58+AO58+AI58+AC58+W58+Q58+K58+E58</f>
        <v>46425</v>
      </c>
      <c r="BQ58" s="688" t="s">
        <v>1023</v>
      </c>
      <c r="BR58" s="722"/>
      <c r="BS58" s="680">
        <v>3225</v>
      </c>
    </row>
    <row r="59" spans="1:71" ht="24" customHeight="1">
      <c r="A59" s="671"/>
      <c r="B59" s="671"/>
      <c r="C59" s="688"/>
      <c r="D59" s="722"/>
      <c r="E59" s="671"/>
      <c r="F59" s="678"/>
      <c r="G59" s="671"/>
      <c r="H59" s="671"/>
      <c r="I59" s="688"/>
      <c r="J59" s="722"/>
      <c r="K59" s="671"/>
      <c r="M59" s="671"/>
      <c r="N59" s="671"/>
      <c r="O59" s="688"/>
      <c r="P59" s="722"/>
      <c r="Q59" s="671"/>
      <c r="S59" s="671"/>
      <c r="T59" s="671"/>
      <c r="U59" s="688"/>
      <c r="V59" s="722"/>
      <c r="W59" s="679"/>
      <c r="Y59" s="671"/>
      <c r="Z59" s="671">
        <f t="shared" si="24"/>
        <v>96314</v>
      </c>
      <c r="AA59" s="669" t="s">
        <v>1024</v>
      </c>
      <c r="AB59" s="722"/>
      <c r="AC59" s="680">
        <v>96314</v>
      </c>
      <c r="AE59" s="671"/>
      <c r="AF59" s="671">
        <f t="shared" si="25"/>
        <v>96314</v>
      </c>
      <c r="AG59" s="669" t="s">
        <v>1024</v>
      </c>
      <c r="AH59" s="722"/>
      <c r="AI59" s="680"/>
      <c r="AK59" s="671"/>
      <c r="AL59" s="671">
        <f t="shared" si="26"/>
        <v>169814</v>
      </c>
      <c r="AM59" s="669" t="s">
        <v>1024</v>
      </c>
      <c r="AN59" s="722"/>
      <c r="AO59" s="680">
        <v>73500</v>
      </c>
      <c r="AQ59" s="671"/>
      <c r="AR59" s="671">
        <f t="shared" si="27"/>
        <v>687314</v>
      </c>
      <c r="AS59" s="669" t="s">
        <v>1024</v>
      </c>
      <c r="AT59" s="722"/>
      <c r="AU59" s="680">
        <v>517500</v>
      </c>
      <c r="AW59" s="671"/>
      <c r="AX59" s="671">
        <f>+AO59+AU59+BA59+AI59+AC59+W59+Q59+K59</f>
        <v>760814</v>
      </c>
      <c r="AY59" s="669" t="s">
        <v>1024</v>
      </c>
      <c r="AZ59" s="722"/>
      <c r="BA59" s="680">
        <v>73500</v>
      </c>
      <c r="BC59" s="671"/>
      <c r="BD59" s="671">
        <f>+AU59+BA59+BG59+AO59+AI59+AC59+W59+Q59</f>
        <v>834314</v>
      </c>
      <c r="BE59" s="669" t="s">
        <v>1024</v>
      </c>
      <c r="BF59" s="722"/>
      <c r="BG59" s="680">
        <v>73500</v>
      </c>
      <c r="BI59" s="671"/>
      <c r="BJ59" s="671">
        <f t="shared" si="28"/>
        <v>834314</v>
      </c>
      <c r="BK59" s="669" t="s">
        <v>1024</v>
      </c>
      <c r="BL59" s="722"/>
      <c r="BM59" s="680">
        <v>0</v>
      </c>
      <c r="BO59" s="671"/>
      <c r="BP59" s="680">
        <f t="shared" si="29"/>
        <v>859766</v>
      </c>
      <c r="BQ59" s="669" t="s">
        <v>1024</v>
      </c>
      <c r="BR59" s="722"/>
      <c r="BS59" s="680">
        <v>25452</v>
      </c>
    </row>
    <row r="60" spans="1:71" ht="24" customHeight="1">
      <c r="A60" s="671"/>
      <c r="B60" s="671"/>
      <c r="C60" s="688"/>
      <c r="D60" s="722"/>
      <c r="E60" s="671"/>
      <c r="F60" s="678"/>
      <c r="G60" s="671"/>
      <c r="H60" s="671"/>
      <c r="I60" s="688"/>
      <c r="J60" s="722"/>
      <c r="K60" s="671"/>
      <c r="M60" s="671"/>
      <c r="N60" s="671"/>
      <c r="O60" s="688"/>
      <c r="P60" s="722"/>
      <c r="Q60" s="671"/>
      <c r="S60" s="671"/>
      <c r="T60" s="671"/>
      <c r="U60" s="688"/>
      <c r="V60" s="722"/>
      <c r="W60" s="679"/>
      <c r="Y60" s="671"/>
      <c r="Z60" s="671"/>
      <c r="AA60" s="669"/>
      <c r="AB60" s="722"/>
      <c r="AC60" s="680"/>
      <c r="AE60" s="671"/>
      <c r="AF60" s="671"/>
      <c r="AG60" s="669"/>
      <c r="AH60" s="722"/>
      <c r="AI60" s="680"/>
      <c r="AK60" s="671"/>
      <c r="AL60" s="671">
        <f t="shared" si="26"/>
        <v>417090</v>
      </c>
      <c r="AM60" s="669" t="s">
        <v>1025</v>
      </c>
      <c r="AN60" s="722"/>
      <c r="AO60" s="680">
        <v>417090</v>
      </c>
      <c r="AQ60" s="671"/>
      <c r="AR60" s="671">
        <f t="shared" si="27"/>
        <v>936954</v>
      </c>
      <c r="AS60" s="669" t="s">
        <v>1025</v>
      </c>
      <c r="AT60" s="722"/>
      <c r="AU60" s="680">
        <v>519864</v>
      </c>
      <c r="AW60" s="671"/>
      <c r="AX60" s="671">
        <f>+AO60+AU60+BA60+AI60+AC60+W60+Q60+K60</f>
        <v>1204559.48</v>
      </c>
      <c r="AY60" s="669" t="s">
        <v>1025</v>
      </c>
      <c r="AZ60" s="722"/>
      <c r="BA60" s="680">
        <v>267605.48</v>
      </c>
      <c r="BC60" s="671"/>
      <c r="BD60" s="671">
        <f>+AU60+BA60+BG60+AO60+AI60+AC60+W60+Q60</f>
        <v>1346299.48</v>
      </c>
      <c r="BE60" s="669" t="s">
        <v>1025</v>
      </c>
      <c r="BF60" s="722"/>
      <c r="BG60" s="680">
        <v>141740</v>
      </c>
      <c r="BI60" s="671"/>
      <c r="BJ60" s="671">
        <f t="shared" si="28"/>
        <v>1346299.48</v>
      </c>
      <c r="BK60" s="669" t="s">
        <v>1025</v>
      </c>
      <c r="BL60" s="722"/>
      <c r="BM60" s="680">
        <v>0</v>
      </c>
      <c r="BO60" s="671"/>
      <c r="BP60" s="680">
        <f t="shared" si="29"/>
        <v>1603022.48</v>
      </c>
      <c r="BQ60" s="669" t="s">
        <v>1025</v>
      </c>
      <c r="BR60" s="722"/>
      <c r="BS60" s="680">
        <v>256723</v>
      </c>
    </row>
    <row r="61" spans="1:71" ht="24" customHeight="1">
      <c r="A61" s="671"/>
      <c r="B61" s="671">
        <f t="shared" si="21"/>
        <v>0</v>
      </c>
      <c r="C61" s="669" t="s">
        <v>107</v>
      </c>
      <c r="D61" s="677"/>
      <c r="E61" s="675"/>
      <c r="F61" s="681"/>
      <c r="G61" s="671"/>
      <c r="H61" s="671">
        <f t="shared" si="12"/>
        <v>679738.93</v>
      </c>
      <c r="I61" s="669" t="s">
        <v>107</v>
      </c>
      <c r="J61" s="677"/>
      <c r="K61" s="675">
        <v>679738.93</v>
      </c>
      <c r="M61" s="671"/>
      <c r="N61" s="671">
        <f t="shared" si="13"/>
        <v>679738.93</v>
      </c>
      <c r="O61" s="669" t="s">
        <v>107</v>
      </c>
      <c r="P61" s="677"/>
      <c r="Q61" s="675"/>
      <c r="S61" s="671"/>
      <c r="T61" s="671">
        <f t="shared" si="14"/>
        <v>679920.38</v>
      </c>
      <c r="U61" s="669" t="s">
        <v>107</v>
      </c>
      <c r="V61" s="677"/>
      <c r="W61" s="675">
        <v>181.45</v>
      </c>
      <c r="Y61" s="671"/>
      <c r="Z61" s="671">
        <f t="shared" si="24"/>
        <v>679920.38</v>
      </c>
      <c r="AA61" s="669" t="s">
        <v>107</v>
      </c>
      <c r="AB61" s="677"/>
      <c r="AC61" s="675"/>
      <c r="AE61" s="671"/>
      <c r="AF61" s="671">
        <f t="shared" si="25"/>
        <v>679920.38</v>
      </c>
      <c r="AG61" s="669" t="s">
        <v>107</v>
      </c>
      <c r="AH61" s="677"/>
      <c r="AI61" s="675"/>
      <c r="AK61" s="671"/>
      <c r="AL61" s="671">
        <f t="shared" si="26"/>
        <v>1413793.1800000002</v>
      </c>
      <c r="AM61" s="669" t="s">
        <v>107</v>
      </c>
      <c r="AN61" s="677"/>
      <c r="AO61" s="675">
        <v>733872.8</v>
      </c>
      <c r="AQ61" s="671"/>
      <c r="AR61" s="671">
        <f t="shared" si="27"/>
        <v>3013996.0800000005</v>
      </c>
      <c r="AS61" s="669" t="s">
        <v>107</v>
      </c>
      <c r="AT61" s="677"/>
      <c r="AU61" s="675">
        <v>1600202.9</v>
      </c>
      <c r="AW61" s="671"/>
      <c r="AX61" s="671">
        <f>+AO61+AU61+BA61+AI61+AC61+W61+Q61+K61</f>
        <v>4642996.08</v>
      </c>
      <c r="AY61" s="669" t="s">
        <v>107</v>
      </c>
      <c r="AZ61" s="677"/>
      <c r="BA61" s="675">
        <v>1629000</v>
      </c>
      <c r="BC61" s="671"/>
      <c r="BD61" s="671">
        <f>+AU61+BA61+BG61+AO61+AI61+AC61+W61+Q61+K61+E61</f>
        <v>6011407.279999999</v>
      </c>
      <c r="BE61" s="669" t="s">
        <v>107</v>
      </c>
      <c r="BF61" s="677"/>
      <c r="BG61" s="675">
        <v>1368411.2</v>
      </c>
      <c r="BI61" s="671"/>
      <c r="BJ61" s="671">
        <f t="shared" si="28"/>
        <v>6127508.93</v>
      </c>
      <c r="BK61" s="669" t="s">
        <v>107</v>
      </c>
      <c r="BL61" s="677"/>
      <c r="BM61" s="675">
        <v>116101.65</v>
      </c>
      <c r="BO61" s="671"/>
      <c r="BP61" s="680">
        <f t="shared" si="29"/>
        <v>6172608.93</v>
      </c>
      <c r="BQ61" s="669" t="s">
        <v>107</v>
      </c>
      <c r="BR61" s="677"/>
      <c r="BS61" s="683">
        <v>45100</v>
      </c>
    </row>
    <row r="62" spans="1:71" ht="24" customHeight="1">
      <c r="A62" s="675"/>
      <c r="B62" s="671">
        <f t="shared" si="21"/>
        <v>390595</v>
      </c>
      <c r="C62" s="669" t="s">
        <v>1026</v>
      </c>
      <c r="D62" s="677" t="s">
        <v>1027</v>
      </c>
      <c r="E62" s="723">
        <v>390595</v>
      </c>
      <c r="F62" s="681" t="s">
        <v>1028</v>
      </c>
      <c r="G62" s="675"/>
      <c r="H62" s="671">
        <f t="shared" si="12"/>
        <v>499904.9</v>
      </c>
      <c r="I62" s="669" t="s">
        <v>1026</v>
      </c>
      <c r="J62" s="677" t="s">
        <v>1027</v>
      </c>
      <c r="K62" s="723">
        <v>109309.9</v>
      </c>
      <c r="M62" s="675"/>
      <c r="N62" s="671">
        <f t="shared" si="13"/>
        <v>552680.71</v>
      </c>
      <c r="O62" s="669" t="s">
        <v>1026</v>
      </c>
      <c r="P62" s="677" t="s">
        <v>1027</v>
      </c>
      <c r="Q62" s="723">
        <v>52775.81</v>
      </c>
      <c r="S62" s="675"/>
      <c r="T62" s="671">
        <f t="shared" si="14"/>
        <v>628859.55</v>
      </c>
      <c r="U62" s="669" t="s">
        <v>1026</v>
      </c>
      <c r="V62" s="677" t="s">
        <v>1027</v>
      </c>
      <c r="W62" s="723">
        <v>76178.84</v>
      </c>
      <c r="Y62" s="675"/>
      <c r="Z62" s="671">
        <f t="shared" si="24"/>
        <v>689266.09</v>
      </c>
      <c r="AA62" s="669" t="s">
        <v>1026</v>
      </c>
      <c r="AB62" s="677" t="s">
        <v>1027</v>
      </c>
      <c r="AC62" s="723">
        <v>60406.54</v>
      </c>
      <c r="AE62" s="675"/>
      <c r="AF62" s="671">
        <f t="shared" si="25"/>
        <v>722619.16</v>
      </c>
      <c r="AG62" s="669" t="s">
        <v>1026</v>
      </c>
      <c r="AH62" s="677" t="s">
        <v>1027</v>
      </c>
      <c r="AI62" s="723">
        <v>33353.07</v>
      </c>
      <c r="AK62" s="675"/>
      <c r="AL62" s="671">
        <f t="shared" si="26"/>
        <v>753873.89</v>
      </c>
      <c r="AM62" s="669" t="s">
        <v>1026</v>
      </c>
      <c r="AN62" s="677" t="s">
        <v>1027</v>
      </c>
      <c r="AO62" s="723">
        <v>31254.73</v>
      </c>
      <c r="AQ62" s="675"/>
      <c r="AR62" s="671">
        <f t="shared" si="27"/>
        <v>819678.71</v>
      </c>
      <c r="AS62" s="669" t="s">
        <v>1026</v>
      </c>
      <c r="AT62" s="677" t="s">
        <v>1027</v>
      </c>
      <c r="AU62" s="723">
        <v>65804.82</v>
      </c>
      <c r="AW62" s="675"/>
      <c r="AX62" s="671">
        <f>+AO62+AU62+BA62+AI62+AC62+W62+Q62+K62+E62</f>
        <v>885891.27</v>
      </c>
      <c r="AY62" s="669" t="s">
        <v>1026</v>
      </c>
      <c r="AZ62" s="677" t="s">
        <v>1027</v>
      </c>
      <c r="BA62" s="723">
        <v>66212.56</v>
      </c>
      <c r="BC62" s="675"/>
      <c r="BD62" s="671">
        <f>+AU62+BA62+BG62+AO62+AI62+AC62+W62+Q62+K62+E62</f>
        <v>938591.7</v>
      </c>
      <c r="BE62" s="669" t="s">
        <v>1026</v>
      </c>
      <c r="BF62" s="677" t="s">
        <v>1027</v>
      </c>
      <c r="BG62" s="723">
        <v>52700.43</v>
      </c>
      <c r="BI62" s="675"/>
      <c r="BJ62" s="671">
        <f t="shared" si="28"/>
        <v>993644.2599999999</v>
      </c>
      <c r="BK62" s="669" t="s">
        <v>1026</v>
      </c>
      <c r="BL62" s="677" t="s">
        <v>1027</v>
      </c>
      <c r="BM62" s="723">
        <v>55052.56</v>
      </c>
      <c r="BO62" s="675"/>
      <c r="BP62" s="680">
        <f t="shared" si="29"/>
        <v>1151826.27</v>
      </c>
      <c r="BQ62" s="669" t="s">
        <v>1026</v>
      </c>
      <c r="BR62" s="677" t="s">
        <v>1027</v>
      </c>
      <c r="BS62" s="683">
        <v>158182.01</v>
      </c>
    </row>
    <row r="63" spans="1:71" ht="24" customHeight="1">
      <c r="A63" s="671"/>
      <c r="B63" s="671">
        <f t="shared" si="21"/>
        <v>1396485</v>
      </c>
      <c r="C63" s="688" t="s">
        <v>1029</v>
      </c>
      <c r="D63" s="722"/>
      <c r="E63" s="671">
        <v>1396485</v>
      </c>
      <c r="F63" s="678"/>
      <c r="G63" s="671"/>
      <c r="H63" s="671">
        <f t="shared" si="12"/>
        <v>2802095</v>
      </c>
      <c r="I63" s="688" t="s">
        <v>1029</v>
      </c>
      <c r="J63" s="722"/>
      <c r="K63" s="671">
        <v>1405610</v>
      </c>
      <c r="M63" s="671"/>
      <c r="N63" s="671">
        <f t="shared" si="13"/>
        <v>3995405</v>
      </c>
      <c r="O63" s="688" t="s">
        <v>1029</v>
      </c>
      <c r="P63" s="722"/>
      <c r="Q63" s="671">
        <v>1193310</v>
      </c>
      <c r="S63" s="671"/>
      <c r="T63" s="671">
        <f t="shared" si="14"/>
        <v>5221815</v>
      </c>
      <c r="U63" s="688" t="s">
        <v>1029</v>
      </c>
      <c r="V63" s="722"/>
      <c r="W63" s="671">
        <v>1226410</v>
      </c>
      <c r="Y63" s="671"/>
      <c r="Z63" s="671">
        <f t="shared" si="24"/>
        <v>6790489</v>
      </c>
      <c r="AA63" s="688" t="s">
        <v>1029</v>
      </c>
      <c r="AB63" s="722"/>
      <c r="AC63" s="671">
        <v>1568674</v>
      </c>
      <c r="AE63" s="671"/>
      <c r="AF63" s="671">
        <f t="shared" si="25"/>
        <v>8278824</v>
      </c>
      <c r="AG63" s="688" t="s">
        <v>1029</v>
      </c>
      <c r="AH63" s="722"/>
      <c r="AI63" s="671">
        <v>1488335</v>
      </c>
      <c r="AK63" s="671"/>
      <c r="AL63" s="671">
        <f t="shared" si="26"/>
        <v>8278824</v>
      </c>
      <c r="AM63" s="688" t="s">
        <v>1029</v>
      </c>
      <c r="AN63" s="722"/>
      <c r="AO63" s="671">
        <v>0</v>
      </c>
      <c r="AQ63" s="671"/>
      <c r="AR63" s="671">
        <f t="shared" si="27"/>
        <v>8278824</v>
      </c>
      <c r="AS63" s="688" t="s">
        <v>1029</v>
      </c>
      <c r="AT63" s="722"/>
      <c r="AU63" s="671">
        <v>0</v>
      </c>
      <c r="AW63" s="671"/>
      <c r="AX63" s="671">
        <f>+AO63+AU63+BA63+AI63+AC63+W63+Q63+K63+E63</f>
        <v>8278824</v>
      </c>
      <c r="AY63" s="688" t="s">
        <v>1029</v>
      </c>
      <c r="AZ63" s="722"/>
      <c r="BA63" s="671">
        <v>0</v>
      </c>
      <c r="BC63" s="671"/>
      <c r="BD63" s="679">
        <v>8278824</v>
      </c>
      <c r="BE63" s="688" t="s">
        <v>1029</v>
      </c>
      <c r="BF63" s="722"/>
      <c r="BG63" s="671"/>
      <c r="BI63" s="671"/>
      <c r="BJ63" s="679">
        <v>8278824</v>
      </c>
      <c r="BK63" s="688" t="s">
        <v>1029</v>
      </c>
      <c r="BL63" s="722"/>
      <c r="BM63" s="671"/>
      <c r="BO63" s="671"/>
      <c r="BP63" s="680">
        <v>8278824</v>
      </c>
      <c r="BQ63" s="688" t="s">
        <v>1029</v>
      </c>
      <c r="BR63" s="722"/>
      <c r="BS63" s="671">
        <v>68670</v>
      </c>
    </row>
    <row r="64" spans="1:72" ht="24" customHeight="1">
      <c r="A64" s="671"/>
      <c r="B64" s="671">
        <f t="shared" si="21"/>
        <v>4000</v>
      </c>
      <c r="C64" s="688" t="s">
        <v>1030</v>
      </c>
      <c r="D64" s="722"/>
      <c r="E64" s="671">
        <v>4000</v>
      </c>
      <c r="F64" s="678"/>
      <c r="G64" s="671"/>
      <c r="H64" s="671">
        <f t="shared" si="12"/>
        <v>92446</v>
      </c>
      <c r="I64" s="688" t="s">
        <v>1030</v>
      </c>
      <c r="J64" s="722"/>
      <c r="K64" s="679">
        <v>88446</v>
      </c>
      <c r="M64" s="671"/>
      <c r="N64" s="679">
        <f t="shared" si="13"/>
        <v>130046</v>
      </c>
      <c r="O64" s="688" t="s">
        <v>1030</v>
      </c>
      <c r="P64" s="722"/>
      <c r="Q64" s="679">
        <v>37600</v>
      </c>
      <c r="S64" s="671"/>
      <c r="T64" s="679">
        <f t="shared" si="14"/>
        <v>258086</v>
      </c>
      <c r="U64" s="688" t="s">
        <v>1030</v>
      </c>
      <c r="V64" s="722"/>
      <c r="W64" s="679">
        <f>128040</f>
        <v>128040</v>
      </c>
      <c r="Y64" s="671"/>
      <c r="Z64" s="671">
        <f t="shared" si="24"/>
        <v>276056</v>
      </c>
      <c r="AA64" s="688" t="s">
        <v>1030</v>
      </c>
      <c r="AB64" s="722"/>
      <c r="AC64" s="680">
        <v>17970</v>
      </c>
      <c r="AE64" s="671"/>
      <c r="AF64" s="671">
        <f t="shared" si="25"/>
        <v>340530</v>
      </c>
      <c r="AG64" s="688" t="s">
        <v>1030</v>
      </c>
      <c r="AH64" s="722"/>
      <c r="AI64" s="680">
        <v>64474</v>
      </c>
      <c r="AK64" s="671"/>
      <c r="AL64" s="671">
        <f t="shared" si="26"/>
        <v>423750</v>
      </c>
      <c r="AM64" s="688" t="s">
        <v>1030</v>
      </c>
      <c r="AN64" s="722"/>
      <c r="AO64" s="680">
        <v>83220</v>
      </c>
      <c r="AQ64" s="671"/>
      <c r="AR64" s="671">
        <f t="shared" si="27"/>
        <v>555376</v>
      </c>
      <c r="AS64" s="688" t="s">
        <v>1030</v>
      </c>
      <c r="AT64" s="722"/>
      <c r="AU64" s="680">
        <v>131626</v>
      </c>
      <c r="AW64" s="671"/>
      <c r="AX64" s="671">
        <f>+AO64+AU64+BA64+AI64+AC64+W64+Q64+K64+E64</f>
        <v>598664</v>
      </c>
      <c r="AY64" s="688" t="s">
        <v>1030</v>
      </c>
      <c r="AZ64" s="722"/>
      <c r="BA64" s="680">
        <v>43288</v>
      </c>
      <c r="BC64" s="671"/>
      <c r="BD64" s="671">
        <f>+AU64+BA64+BG64+AO64+AI64+AC64+W64+Q64+K64+E64</f>
        <v>716216</v>
      </c>
      <c r="BE64" s="688" t="s">
        <v>1030</v>
      </c>
      <c r="BF64" s="722"/>
      <c r="BG64" s="680">
        <v>117552</v>
      </c>
      <c r="BI64" s="671"/>
      <c r="BJ64" s="671">
        <f t="shared" si="28"/>
        <v>730856</v>
      </c>
      <c r="BK64" s="688" t="s">
        <v>1030</v>
      </c>
      <c r="BL64" s="722"/>
      <c r="BM64" s="680">
        <v>14640</v>
      </c>
      <c r="BO64" s="671"/>
      <c r="BP64" s="680">
        <f t="shared" si="29"/>
        <v>892196</v>
      </c>
      <c r="BQ64" s="688" t="s">
        <v>1030</v>
      </c>
      <c r="BR64" s="722"/>
      <c r="BS64" s="680">
        <v>161340</v>
      </c>
      <c r="BT64" s="680">
        <v>161340</v>
      </c>
    </row>
    <row r="65" spans="1:72" ht="24" customHeight="1">
      <c r="A65" s="671"/>
      <c r="B65" s="671">
        <f t="shared" si="21"/>
        <v>0</v>
      </c>
      <c r="C65" s="688" t="s">
        <v>1031</v>
      </c>
      <c r="D65" s="722"/>
      <c r="E65" s="671"/>
      <c r="F65" s="678"/>
      <c r="G65" s="671"/>
      <c r="H65" s="671">
        <f t="shared" si="12"/>
        <v>0</v>
      </c>
      <c r="I65" s="688" t="s">
        <v>1031</v>
      </c>
      <c r="J65" s="722"/>
      <c r="K65" s="671"/>
      <c r="M65" s="671"/>
      <c r="N65" s="671">
        <f t="shared" si="13"/>
        <v>0</v>
      </c>
      <c r="O65" s="688" t="s">
        <v>1031</v>
      </c>
      <c r="P65" s="722"/>
      <c r="Q65" s="671"/>
      <c r="S65" s="671"/>
      <c r="T65" s="671">
        <f t="shared" si="14"/>
        <v>0</v>
      </c>
      <c r="U65" s="688" t="s">
        <v>1031</v>
      </c>
      <c r="V65" s="722"/>
      <c r="W65" s="671"/>
      <c r="Y65" s="671"/>
      <c r="Z65" s="671">
        <f t="shared" si="24"/>
        <v>0</v>
      </c>
      <c r="AA65" s="688" t="s">
        <v>1031</v>
      </c>
      <c r="AB65" s="722"/>
      <c r="AC65" s="671"/>
      <c r="AE65" s="671"/>
      <c r="AF65" s="671">
        <f t="shared" si="25"/>
        <v>0</v>
      </c>
      <c r="AG65" s="688" t="s">
        <v>1031</v>
      </c>
      <c r="AH65" s="722"/>
      <c r="AI65" s="671"/>
      <c r="AK65" s="671"/>
      <c r="AL65" s="671">
        <f t="shared" si="26"/>
        <v>0</v>
      </c>
      <c r="AM65" s="688" t="s">
        <v>1031</v>
      </c>
      <c r="AN65" s="722"/>
      <c r="AO65" s="671"/>
      <c r="AQ65" s="671"/>
      <c r="AR65" s="671">
        <f t="shared" si="27"/>
        <v>0</v>
      </c>
      <c r="AS65" s="688" t="s">
        <v>1031</v>
      </c>
      <c r="AT65" s="722"/>
      <c r="AU65" s="671"/>
      <c r="AW65" s="671"/>
      <c r="AX65" s="671">
        <f aca="true" t="shared" si="30" ref="AX65:AX72">+AO65+AU65+BA65+AI65+AC65+W65+Q65+K65+E65</f>
        <v>0</v>
      </c>
      <c r="AY65" s="688" t="s">
        <v>1031</v>
      </c>
      <c r="AZ65" s="722"/>
      <c r="BA65" s="671"/>
      <c r="BC65" s="671"/>
      <c r="BD65" s="671">
        <f aca="true" t="shared" si="31" ref="BD65:BD72">+AU65+BA65+BG65+AO65+AI65+AC65+W65+Q65+K65</f>
        <v>0</v>
      </c>
      <c r="BE65" s="688" t="s">
        <v>1031</v>
      </c>
      <c r="BF65" s="722"/>
      <c r="BG65" s="671"/>
      <c r="BI65" s="671"/>
      <c r="BJ65" s="671">
        <f t="shared" si="28"/>
        <v>0</v>
      </c>
      <c r="BK65" s="688" t="s">
        <v>1031</v>
      </c>
      <c r="BL65" s="722"/>
      <c r="BM65" s="671"/>
      <c r="BO65" s="671"/>
      <c r="BP65" s="671">
        <f t="shared" si="29"/>
        <v>701428.83</v>
      </c>
      <c r="BQ65" s="688" t="s">
        <v>919</v>
      </c>
      <c r="BR65" s="722"/>
      <c r="BS65" s="680">
        <v>701428.83</v>
      </c>
      <c r="BT65" s="724"/>
    </row>
    <row r="66" spans="1:72" ht="24" customHeight="1">
      <c r="A66" s="671"/>
      <c r="B66" s="671">
        <f t="shared" si="21"/>
        <v>0</v>
      </c>
      <c r="C66" s="688" t="s">
        <v>1032</v>
      </c>
      <c r="D66" s="722"/>
      <c r="E66" s="671"/>
      <c r="F66" s="678"/>
      <c r="G66" s="671"/>
      <c r="H66" s="671">
        <f t="shared" si="12"/>
        <v>0</v>
      </c>
      <c r="I66" s="688" t="s">
        <v>1032</v>
      </c>
      <c r="J66" s="722"/>
      <c r="K66" s="671"/>
      <c r="M66" s="671"/>
      <c r="N66" s="671">
        <f t="shared" si="13"/>
        <v>259300</v>
      </c>
      <c r="O66" s="688" t="s">
        <v>1032</v>
      </c>
      <c r="P66" s="722"/>
      <c r="Q66" s="671">
        <v>259300</v>
      </c>
      <c r="S66" s="671"/>
      <c r="T66" s="671">
        <f>+K66+Q66+W66+E66</f>
        <v>259300</v>
      </c>
      <c r="U66" s="688" t="s">
        <v>1032</v>
      </c>
      <c r="V66" s="722"/>
      <c r="W66" s="671"/>
      <c r="Y66" s="671"/>
      <c r="Z66" s="671">
        <f t="shared" si="24"/>
        <v>259300</v>
      </c>
      <c r="AA66" s="688" t="s">
        <v>1032</v>
      </c>
      <c r="AB66" s="722"/>
      <c r="AC66" s="671"/>
      <c r="AE66" s="671"/>
      <c r="AF66" s="671">
        <f t="shared" si="25"/>
        <v>259300</v>
      </c>
      <c r="AG66" s="688" t="s">
        <v>1032</v>
      </c>
      <c r="AH66" s="722"/>
      <c r="AI66" s="671"/>
      <c r="AK66" s="671"/>
      <c r="AL66" s="671">
        <f t="shared" si="26"/>
        <v>259300</v>
      </c>
      <c r="AM66" s="688" t="s">
        <v>1032</v>
      </c>
      <c r="AN66" s="722"/>
      <c r="AO66" s="671"/>
      <c r="AQ66" s="671"/>
      <c r="AR66" s="671">
        <f t="shared" si="27"/>
        <v>259300</v>
      </c>
      <c r="AS66" s="688" t="s">
        <v>1032</v>
      </c>
      <c r="AT66" s="722"/>
      <c r="AU66" s="671"/>
      <c r="AW66" s="671"/>
      <c r="AX66" s="671">
        <f t="shared" si="30"/>
        <v>259300</v>
      </c>
      <c r="AY66" s="688" t="s">
        <v>1032</v>
      </c>
      <c r="AZ66" s="722"/>
      <c r="BA66" s="671"/>
      <c r="BC66" s="671"/>
      <c r="BD66" s="671">
        <f t="shared" si="31"/>
        <v>259300</v>
      </c>
      <c r="BE66" s="688" t="s">
        <v>1032</v>
      </c>
      <c r="BF66" s="722"/>
      <c r="BG66" s="671"/>
      <c r="BI66" s="671"/>
      <c r="BJ66" s="671">
        <f t="shared" si="28"/>
        <v>259300</v>
      </c>
      <c r="BK66" s="688" t="s">
        <v>1032</v>
      </c>
      <c r="BL66" s="722"/>
      <c r="BM66" s="671"/>
      <c r="BO66" s="671"/>
      <c r="BP66" s="671">
        <f t="shared" si="29"/>
        <v>259300</v>
      </c>
      <c r="BQ66" s="688" t="s">
        <v>1032</v>
      </c>
      <c r="BR66" s="722"/>
      <c r="BS66" s="680"/>
      <c r="BT66" s="724"/>
    </row>
    <row r="67" spans="1:71" ht="24" customHeight="1">
      <c r="A67" s="671"/>
      <c r="B67" s="671">
        <f t="shared" si="21"/>
        <v>316400</v>
      </c>
      <c r="C67" s="688" t="s">
        <v>169</v>
      </c>
      <c r="D67" s="722"/>
      <c r="E67" s="671">
        <v>316400</v>
      </c>
      <c r="F67" s="678"/>
      <c r="G67" s="671"/>
      <c r="H67" s="671">
        <f t="shared" si="12"/>
        <v>354400</v>
      </c>
      <c r="I67" s="688" t="s">
        <v>169</v>
      </c>
      <c r="J67" s="722"/>
      <c r="K67" s="671">
        <v>38000</v>
      </c>
      <c r="M67" s="671"/>
      <c r="N67" s="671">
        <f t="shared" si="13"/>
        <v>354400</v>
      </c>
      <c r="O67" s="688" t="s">
        <v>169</v>
      </c>
      <c r="P67" s="722"/>
      <c r="Q67" s="671"/>
      <c r="S67" s="671"/>
      <c r="T67" s="671">
        <f t="shared" si="14"/>
        <v>354400</v>
      </c>
      <c r="U67" s="688" t="s">
        <v>169</v>
      </c>
      <c r="V67" s="722"/>
      <c r="W67" s="671"/>
      <c r="Y67" s="671"/>
      <c r="Z67" s="671">
        <f t="shared" si="24"/>
        <v>354400</v>
      </c>
      <c r="AA67" s="688" t="s">
        <v>169</v>
      </c>
      <c r="AB67" s="722"/>
      <c r="AC67" s="671"/>
      <c r="AE67" s="671"/>
      <c r="AF67" s="671">
        <f t="shared" si="25"/>
        <v>354400</v>
      </c>
      <c r="AG67" s="688" t="s">
        <v>169</v>
      </c>
      <c r="AH67" s="722"/>
      <c r="AI67" s="671"/>
      <c r="AK67" s="671"/>
      <c r="AL67" s="671">
        <f t="shared" si="26"/>
        <v>354400</v>
      </c>
      <c r="AM67" s="688" t="s">
        <v>169</v>
      </c>
      <c r="AN67" s="722"/>
      <c r="AO67" s="671"/>
      <c r="AQ67" s="671"/>
      <c r="AR67" s="671">
        <f t="shared" si="27"/>
        <v>354400</v>
      </c>
      <c r="AS67" s="688" t="s">
        <v>169</v>
      </c>
      <c r="AT67" s="722"/>
      <c r="AU67" s="671"/>
      <c r="AW67" s="671"/>
      <c r="AX67" s="671">
        <f t="shared" si="30"/>
        <v>354400</v>
      </c>
      <c r="AY67" s="688" t="s">
        <v>169</v>
      </c>
      <c r="AZ67" s="722"/>
      <c r="BA67" s="671"/>
      <c r="BC67" s="671"/>
      <c r="BD67" s="671">
        <f>+AU67+BA67+BG67+AO67+AI67+AC67+W67+Q67+K67+E67</f>
        <v>354400</v>
      </c>
      <c r="BE67" s="688" t="s">
        <v>169</v>
      </c>
      <c r="BF67" s="722"/>
      <c r="BG67" s="671"/>
      <c r="BI67" s="671"/>
      <c r="BJ67" s="671">
        <f t="shared" si="28"/>
        <v>354400</v>
      </c>
      <c r="BK67" s="688" t="s">
        <v>169</v>
      </c>
      <c r="BL67" s="722"/>
      <c r="BM67" s="671"/>
      <c r="BO67" s="671"/>
      <c r="BP67" s="671">
        <f t="shared" si="29"/>
        <v>354400</v>
      </c>
      <c r="BQ67" s="688" t="s">
        <v>169</v>
      </c>
      <c r="BR67" s="722"/>
      <c r="BS67" s="671"/>
    </row>
    <row r="68" spans="1:71" ht="24" customHeight="1">
      <c r="A68" s="671"/>
      <c r="B68" s="671">
        <f t="shared" si="21"/>
        <v>0</v>
      </c>
      <c r="C68" s="688"/>
      <c r="D68" s="722"/>
      <c r="E68" s="671"/>
      <c r="F68" s="678"/>
      <c r="G68" s="671"/>
      <c r="H68" s="671">
        <f t="shared" si="12"/>
        <v>0</v>
      </c>
      <c r="I68" s="688"/>
      <c r="J68" s="722"/>
      <c r="K68" s="671"/>
      <c r="M68" s="671"/>
      <c r="N68" s="671">
        <f t="shared" si="13"/>
        <v>23337</v>
      </c>
      <c r="O68" s="688" t="s">
        <v>1000</v>
      </c>
      <c r="P68" s="722"/>
      <c r="Q68" s="671">
        <v>23337</v>
      </c>
      <c r="S68" s="671"/>
      <c r="T68" s="671">
        <f t="shared" si="14"/>
        <v>23337</v>
      </c>
      <c r="U68" s="688" t="s">
        <v>1000</v>
      </c>
      <c r="V68" s="722"/>
      <c r="W68" s="671"/>
      <c r="Y68" s="671"/>
      <c r="Z68" s="671">
        <f t="shared" si="24"/>
        <v>23337</v>
      </c>
      <c r="AA68" s="688" t="s">
        <v>1000</v>
      </c>
      <c r="AB68" s="722"/>
      <c r="AC68" s="671"/>
      <c r="AE68" s="671"/>
      <c r="AF68" s="671">
        <f t="shared" si="25"/>
        <v>23337</v>
      </c>
      <c r="AG68" s="688" t="s">
        <v>1000</v>
      </c>
      <c r="AH68" s="722"/>
      <c r="AI68" s="671"/>
      <c r="AK68" s="671"/>
      <c r="AL68" s="671">
        <f t="shared" si="26"/>
        <v>23337</v>
      </c>
      <c r="AM68" s="688" t="s">
        <v>1000</v>
      </c>
      <c r="AN68" s="722"/>
      <c r="AO68" s="671"/>
      <c r="AQ68" s="671"/>
      <c r="AR68" s="671">
        <f t="shared" si="27"/>
        <v>23337</v>
      </c>
      <c r="AS68" s="688" t="s">
        <v>1000</v>
      </c>
      <c r="AT68" s="722"/>
      <c r="AU68" s="671"/>
      <c r="AW68" s="671"/>
      <c r="AX68" s="671">
        <f t="shared" si="30"/>
        <v>23337</v>
      </c>
      <c r="AY68" s="688" t="s">
        <v>1000</v>
      </c>
      <c r="AZ68" s="722"/>
      <c r="BA68" s="671"/>
      <c r="BC68" s="671"/>
      <c r="BD68" s="671">
        <f t="shared" si="31"/>
        <v>23337</v>
      </c>
      <c r="BE68" s="688" t="s">
        <v>1000</v>
      </c>
      <c r="BF68" s="722"/>
      <c r="BG68" s="671"/>
      <c r="BI68" s="671"/>
      <c r="BJ68" s="671">
        <f t="shared" si="28"/>
        <v>23337</v>
      </c>
      <c r="BK68" s="688" t="s">
        <v>1000</v>
      </c>
      <c r="BL68" s="722"/>
      <c r="BM68" s="671"/>
      <c r="BO68" s="671"/>
      <c r="BP68" s="671">
        <f t="shared" si="29"/>
        <v>23337</v>
      </c>
      <c r="BQ68" s="688" t="s">
        <v>1000</v>
      </c>
      <c r="BR68" s="722"/>
      <c r="BS68" s="671"/>
    </row>
    <row r="69" spans="1:71" ht="24" customHeight="1">
      <c r="A69" s="671"/>
      <c r="B69" s="671">
        <f t="shared" si="21"/>
        <v>0</v>
      </c>
      <c r="C69" s="725"/>
      <c r="D69" s="726"/>
      <c r="E69" s="727">
        <v>0</v>
      </c>
      <c r="F69" s="678"/>
      <c r="G69" s="671"/>
      <c r="H69" s="671">
        <f t="shared" si="12"/>
        <v>0</v>
      </c>
      <c r="I69" s="725"/>
      <c r="J69" s="726"/>
      <c r="K69" s="727">
        <v>0</v>
      </c>
      <c r="M69" s="671"/>
      <c r="N69" s="671">
        <f t="shared" si="13"/>
        <v>178000</v>
      </c>
      <c r="O69" s="725" t="s">
        <v>990</v>
      </c>
      <c r="P69" s="726"/>
      <c r="Q69" s="727">
        <v>178000</v>
      </c>
      <c r="S69" s="671"/>
      <c r="T69" s="671">
        <f t="shared" si="14"/>
        <v>465000</v>
      </c>
      <c r="U69" s="725" t="s">
        <v>990</v>
      </c>
      <c r="V69" s="726"/>
      <c r="W69" s="727">
        <v>287000</v>
      </c>
      <c r="Y69" s="671"/>
      <c r="Z69" s="671">
        <f t="shared" si="24"/>
        <v>952000</v>
      </c>
      <c r="AA69" s="725" t="s">
        <v>990</v>
      </c>
      <c r="AB69" s="726"/>
      <c r="AC69" s="727">
        <v>487000</v>
      </c>
      <c r="AE69" s="671"/>
      <c r="AF69" s="671">
        <f t="shared" si="25"/>
        <v>1111000</v>
      </c>
      <c r="AG69" s="728" t="s">
        <v>990</v>
      </c>
      <c r="AH69" s="729"/>
      <c r="AI69" s="671">
        <v>159000</v>
      </c>
      <c r="AK69" s="671"/>
      <c r="AL69" s="671">
        <f t="shared" si="26"/>
        <v>1111000</v>
      </c>
      <c r="AM69" s="728" t="s">
        <v>990</v>
      </c>
      <c r="AN69" s="729"/>
      <c r="AO69" s="671"/>
      <c r="AQ69" s="671"/>
      <c r="AR69" s="671">
        <f t="shared" si="27"/>
        <v>1111000</v>
      </c>
      <c r="AS69" s="728" t="s">
        <v>990</v>
      </c>
      <c r="AT69" s="729"/>
      <c r="AU69" s="671"/>
      <c r="AW69" s="671"/>
      <c r="AX69" s="671">
        <f t="shared" si="30"/>
        <v>1111000</v>
      </c>
      <c r="AY69" s="728" t="s">
        <v>990</v>
      </c>
      <c r="AZ69" s="729"/>
      <c r="BA69" s="671"/>
      <c r="BC69" s="671"/>
      <c r="BD69" s="671">
        <f t="shared" si="31"/>
        <v>1111000</v>
      </c>
      <c r="BE69" s="728" t="s">
        <v>990</v>
      </c>
      <c r="BF69" s="729"/>
      <c r="BG69" s="671"/>
      <c r="BI69" s="671"/>
      <c r="BJ69" s="671">
        <f t="shared" si="28"/>
        <v>1111000</v>
      </c>
      <c r="BK69" s="728" t="s">
        <v>990</v>
      </c>
      <c r="BL69" s="729"/>
      <c r="BM69" s="671"/>
      <c r="BO69" s="671"/>
      <c r="BP69" s="671">
        <f t="shared" si="29"/>
        <v>1111000</v>
      </c>
      <c r="BQ69" s="728" t="s">
        <v>990</v>
      </c>
      <c r="BR69" s="729"/>
      <c r="BS69" s="671"/>
    </row>
    <row r="70" spans="1:71" ht="24" customHeight="1">
      <c r="A70" s="671"/>
      <c r="B70" s="730"/>
      <c r="C70" s="725"/>
      <c r="D70" s="729"/>
      <c r="E70" s="671"/>
      <c r="F70" s="678"/>
      <c r="G70" s="671"/>
      <c r="H70" s="730"/>
      <c r="I70" s="725"/>
      <c r="J70" s="729"/>
      <c r="K70" s="671"/>
      <c r="M70" s="671"/>
      <c r="N70" s="730"/>
      <c r="O70" s="725"/>
      <c r="P70" s="729"/>
      <c r="Q70" s="671"/>
      <c r="S70" s="671"/>
      <c r="T70" s="730"/>
      <c r="U70" s="725"/>
      <c r="V70" s="729"/>
      <c r="W70" s="671"/>
      <c r="Y70" s="671"/>
      <c r="Z70" s="730"/>
      <c r="AA70" s="725"/>
      <c r="AB70" s="729"/>
      <c r="AC70" s="671"/>
      <c r="AE70" s="671"/>
      <c r="AF70" s="671">
        <f t="shared" si="25"/>
        <v>499690</v>
      </c>
      <c r="AG70" s="688" t="s">
        <v>1033</v>
      </c>
      <c r="AH70" s="731"/>
      <c r="AI70" s="727">
        <v>499690</v>
      </c>
      <c r="AK70" s="671"/>
      <c r="AL70" s="671">
        <f t="shared" si="26"/>
        <v>499690</v>
      </c>
      <c r="AM70" s="688" t="s">
        <v>1033</v>
      </c>
      <c r="AN70" s="731"/>
      <c r="AO70" s="727"/>
      <c r="AQ70" s="671"/>
      <c r="AR70" s="671">
        <f t="shared" si="27"/>
        <v>499690</v>
      </c>
      <c r="AS70" s="688" t="s">
        <v>1033</v>
      </c>
      <c r="AT70" s="731"/>
      <c r="AU70" s="727">
        <v>0</v>
      </c>
      <c r="AW70" s="671"/>
      <c r="AX70" s="671">
        <f t="shared" si="30"/>
        <v>499690</v>
      </c>
      <c r="AY70" s="688" t="s">
        <v>1033</v>
      </c>
      <c r="AZ70" s="731"/>
      <c r="BA70" s="727">
        <v>0</v>
      </c>
      <c r="BC70" s="671"/>
      <c r="BD70" s="671">
        <f t="shared" si="31"/>
        <v>499690</v>
      </c>
      <c r="BE70" s="688" t="s">
        <v>1033</v>
      </c>
      <c r="BF70" s="731"/>
      <c r="BG70" s="727">
        <v>0</v>
      </c>
      <c r="BI70" s="671"/>
      <c r="BJ70" s="671">
        <f t="shared" si="28"/>
        <v>499690</v>
      </c>
      <c r="BK70" s="688" t="s">
        <v>1033</v>
      </c>
      <c r="BL70" s="726"/>
      <c r="BM70" s="727"/>
      <c r="BO70" s="671"/>
      <c r="BP70" s="671">
        <f t="shared" si="29"/>
        <v>499690</v>
      </c>
      <c r="BQ70" s="688" t="s">
        <v>1033</v>
      </c>
      <c r="BR70" s="726"/>
      <c r="BS70" s="727"/>
    </row>
    <row r="71" spans="1:71" ht="24" customHeight="1">
      <c r="A71" s="671"/>
      <c r="B71" s="730"/>
      <c r="C71" s="725"/>
      <c r="D71" s="729"/>
      <c r="E71" s="671"/>
      <c r="F71" s="678"/>
      <c r="G71" s="671"/>
      <c r="H71" s="730"/>
      <c r="I71" s="725"/>
      <c r="J71" s="729"/>
      <c r="K71" s="671"/>
      <c r="M71" s="671"/>
      <c r="N71" s="730"/>
      <c r="O71" s="725"/>
      <c r="P71" s="729"/>
      <c r="Q71" s="671"/>
      <c r="S71" s="671"/>
      <c r="T71" s="730"/>
      <c r="U71" s="725"/>
      <c r="V71" s="729"/>
      <c r="W71" s="671"/>
      <c r="Y71" s="671"/>
      <c r="Z71" s="730"/>
      <c r="AA71" s="725"/>
      <c r="AB71" s="729"/>
      <c r="AC71" s="671"/>
      <c r="AE71" s="671"/>
      <c r="AF71" s="730"/>
      <c r="AG71" s="688"/>
      <c r="AH71" s="729"/>
      <c r="AI71" s="730"/>
      <c r="AK71" s="671"/>
      <c r="AL71" s="671">
        <f t="shared" si="26"/>
        <v>205700</v>
      </c>
      <c r="AM71" s="728" t="s">
        <v>1034</v>
      </c>
      <c r="AN71" s="729"/>
      <c r="AO71" s="671">
        <v>205700</v>
      </c>
      <c r="AQ71" s="671"/>
      <c r="AR71" s="671">
        <f t="shared" si="27"/>
        <v>205700</v>
      </c>
      <c r="AS71" s="728" t="s">
        <v>1034</v>
      </c>
      <c r="AT71" s="729"/>
      <c r="AU71" s="671">
        <v>0</v>
      </c>
      <c r="AW71" s="671"/>
      <c r="AX71" s="671">
        <f t="shared" si="30"/>
        <v>411400</v>
      </c>
      <c r="AY71" s="728" t="s">
        <v>1034</v>
      </c>
      <c r="AZ71" s="729"/>
      <c r="BA71" s="671">
        <v>205700</v>
      </c>
      <c r="BC71" s="671"/>
      <c r="BD71" s="671">
        <f t="shared" si="31"/>
        <v>411400</v>
      </c>
      <c r="BE71" s="728" t="s">
        <v>1034</v>
      </c>
      <c r="BF71" s="729"/>
      <c r="BG71" s="671"/>
      <c r="BI71" s="671"/>
      <c r="BJ71" s="671">
        <f t="shared" si="28"/>
        <v>411400</v>
      </c>
      <c r="BK71" s="732" t="s">
        <v>1034</v>
      </c>
      <c r="BL71" s="722"/>
      <c r="BM71" s="671"/>
      <c r="BO71" s="671"/>
      <c r="BP71" s="671">
        <f t="shared" si="29"/>
        <v>411400</v>
      </c>
      <c r="BQ71" s="732" t="s">
        <v>1034</v>
      </c>
      <c r="BR71" s="722"/>
      <c r="BS71" s="671"/>
    </row>
    <row r="72" spans="1:71" ht="24" customHeight="1">
      <c r="A72" s="671"/>
      <c r="B72" s="730"/>
      <c r="C72" s="725"/>
      <c r="D72" s="729"/>
      <c r="E72" s="671"/>
      <c r="F72" s="678"/>
      <c r="G72" s="671"/>
      <c r="H72" s="730"/>
      <c r="I72" s="725"/>
      <c r="J72" s="729"/>
      <c r="K72" s="671"/>
      <c r="M72" s="671"/>
      <c r="N72" s="730"/>
      <c r="O72" s="725"/>
      <c r="P72" s="729"/>
      <c r="Q72" s="671"/>
      <c r="S72" s="671"/>
      <c r="T72" s="730"/>
      <c r="U72" s="725"/>
      <c r="V72" s="729"/>
      <c r="W72" s="671"/>
      <c r="Y72" s="671"/>
      <c r="Z72" s="730"/>
      <c r="AA72" s="725"/>
      <c r="AB72" s="729"/>
      <c r="AC72" s="671"/>
      <c r="AE72" s="671"/>
      <c r="AF72" s="730"/>
      <c r="AG72" s="688"/>
      <c r="AH72" s="729"/>
      <c r="AI72" s="730"/>
      <c r="AK72" s="671"/>
      <c r="AL72" s="671">
        <f t="shared" si="26"/>
        <v>897500</v>
      </c>
      <c r="AM72" s="688" t="s">
        <v>1035</v>
      </c>
      <c r="AN72" s="729"/>
      <c r="AO72" s="727">
        <v>897500</v>
      </c>
      <c r="AQ72" s="671"/>
      <c r="AR72" s="671">
        <f t="shared" si="27"/>
        <v>897500</v>
      </c>
      <c r="AS72" s="688" t="s">
        <v>1035</v>
      </c>
      <c r="AT72" s="729"/>
      <c r="AU72" s="727">
        <v>0</v>
      </c>
      <c r="AW72" s="671"/>
      <c r="AX72" s="671">
        <f t="shared" si="30"/>
        <v>1795000</v>
      </c>
      <c r="AY72" s="688" t="s">
        <v>1035</v>
      </c>
      <c r="AZ72" s="729"/>
      <c r="BA72" s="727">
        <v>897500</v>
      </c>
      <c r="BC72" s="671"/>
      <c r="BD72" s="671">
        <f t="shared" si="31"/>
        <v>1795000</v>
      </c>
      <c r="BE72" s="688" t="s">
        <v>1035</v>
      </c>
      <c r="BF72" s="729"/>
      <c r="BG72" s="727"/>
      <c r="BI72" s="671"/>
      <c r="BJ72" s="671">
        <f t="shared" si="28"/>
        <v>1795000</v>
      </c>
      <c r="BK72" s="688" t="s">
        <v>1035</v>
      </c>
      <c r="BL72" s="722"/>
      <c r="BM72" s="727"/>
      <c r="BO72" s="671"/>
      <c r="BP72" s="671">
        <f t="shared" si="29"/>
        <v>1795000</v>
      </c>
      <c r="BQ72" s="688" t="s">
        <v>1035</v>
      </c>
      <c r="BR72" s="722"/>
      <c r="BS72" s="727"/>
    </row>
    <row r="73" spans="1:71" ht="24" customHeight="1">
      <c r="A73" s="727"/>
      <c r="B73" s="730"/>
      <c r="C73" s="725"/>
      <c r="D73" s="729"/>
      <c r="E73" s="671"/>
      <c r="F73" s="678"/>
      <c r="G73" s="727"/>
      <c r="H73" s="730"/>
      <c r="I73" s="725"/>
      <c r="J73" s="729"/>
      <c r="K73" s="671"/>
      <c r="M73" s="727"/>
      <c r="N73" s="730"/>
      <c r="O73" s="725"/>
      <c r="P73" s="729"/>
      <c r="Q73" s="671"/>
      <c r="S73" s="727"/>
      <c r="T73" s="730"/>
      <c r="U73" s="725"/>
      <c r="V73" s="729"/>
      <c r="W73" s="671"/>
      <c r="Y73" s="727"/>
      <c r="Z73" s="730"/>
      <c r="AA73" s="725"/>
      <c r="AB73" s="729"/>
      <c r="AC73" s="671"/>
      <c r="AE73" s="727"/>
      <c r="AF73" s="730"/>
      <c r="AG73" s="725"/>
      <c r="AH73" s="729"/>
      <c r="AI73" s="730"/>
      <c r="AK73" s="727"/>
      <c r="AL73" s="730"/>
      <c r="AM73" s="725"/>
      <c r="AN73" s="729"/>
      <c r="AO73" s="730"/>
      <c r="AQ73" s="727"/>
      <c r="AR73" s="730"/>
      <c r="AS73" s="725"/>
      <c r="AT73" s="729"/>
      <c r="AU73" s="730"/>
      <c r="AW73" s="727"/>
      <c r="AX73" s="730"/>
      <c r="AY73" s="725"/>
      <c r="AZ73" s="729"/>
      <c r="BA73" s="730"/>
      <c r="BC73" s="727"/>
      <c r="BD73" s="730"/>
      <c r="BE73" s="725"/>
      <c r="BF73" s="729"/>
      <c r="BG73" s="730"/>
      <c r="BI73" s="727"/>
      <c r="BJ73" s="730"/>
      <c r="BK73" s="725"/>
      <c r="BL73" s="729"/>
      <c r="BM73" s="730"/>
      <c r="BO73" s="727"/>
      <c r="BP73" s="730"/>
      <c r="BQ73" s="725"/>
      <c r="BR73" s="729"/>
      <c r="BS73" s="730"/>
    </row>
    <row r="74" spans="1:71" ht="24" customHeight="1" thickBot="1">
      <c r="A74" s="733">
        <f>SUM(A44:A61)</f>
        <v>39746657</v>
      </c>
      <c r="B74" s="733">
        <f>SUM(B44:B73)</f>
        <v>3031835.4699999997</v>
      </c>
      <c r="C74" s="694" t="s">
        <v>56</v>
      </c>
      <c r="D74" s="729"/>
      <c r="E74" s="734">
        <f>SUM(E44:E73)</f>
        <v>3031835.4699999997</v>
      </c>
      <c r="F74" s="735"/>
      <c r="G74" s="733">
        <f>SUM(G44:G61)</f>
        <v>39746657</v>
      </c>
      <c r="H74" s="733">
        <f>SUM(H44:H73)</f>
        <v>7959462.3100000005</v>
      </c>
      <c r="I74" s="694" t="s">
        <v>56</v>
      </c>
      <c r="J74" s="729"/>
      <c r="K74" s="734">
        <f>SUM(K44:K73)</f>
        <v>4927626.84</v>
      </c>
      <c r="M74" s="733">
        <f>SUM(M44:M61)</f>
        <v>39746657</v>
      </c>
      <c r="N74" s="733">
        <f>SUM(N44:N73)</f>
        <v>11646968.059999999</v>
      </c>
      <c r="O74" s="694" t="s">
        <v>56</v>
      </c>
      <c r="P74" s="729"/>
      <c r="Q74" s="734">
        <f>SUM(Q44:Q73)</f>
        <v>3687505.75</v>
      </c>
      <c r="S74" s="733">
        <f>SUM(S44:S61)</f>
        <v>39746657</v>
      </c>
      <c r="T74" s="733">
        <f>SUM(T44:T73)</f>
        <v>20634402.770000003</v>
      </c>
      <c r="U74" s="694" t="s">
        <v>56</v>
      </c>
      <c r="V74" s="729"/>
      <c r="W74" s="734">
        <f>SUM(W44:W73)</f>
        <v>5619134.71</v>
      </c>
      <c r="Y74" s="733">
        <f>SUM(Y44:Y61)</f>
        <v>39746657</v>
      </c>
      <c r="Z74" s="733">
        <f>SUM(Z44:Z73)</f>
        <v>27369015.809999995</v>
      </c>
      <c r="AA74" s="694" t="s">
        <v>56</v>
      </c>
      <c r="AB74" s="729"/>
      <c r="AC74" s="734">
        <f>SUM(AC44:AC73)</f>
        <v>6734613.04</v>
      </c>
      <c r="AE74" s="733">
        <f>SUM(AE44:AE61)</f>
        <v>39746657</v>
      </c>
      <c r="AF74" s="733">
        <f>SUM(AF44:AF73)</f>
        <v>34291072</v>
      </c>
      <c r="AG74" s="694" t="s">
        <v>56</v>
      </c>
      <c r="AH74" s="729"/>
      <c r="AI74" s="734">
        <f>SUM(AI44:AI73)</f>
        <v>6922056.19</v>
      </c>
      <c r="AK74" s="733">
        <f>SUM(AK44:AK61)</f>
        <v>39746657</v>
      </c>
      <c r="AL74" s="733">
        <f>SUM(AL44:AL73)</f>
        <v>41678331.42</v>
      </c>
      <c r="AM74" s="694" t="s">
        <v>56</v>
      </c>
      <c r="AN74" s="729"/>
      <c r="AO74" s="734">
        <f>SUM(AO44:AO73)</f>
        <v>7387259.420000001</v>
      </c>
      <c r="AQ74" s="733">
        <f>SUM(AQ44:AQ61)</f>
        <v>39746657</v>
      </c>
      <c r="AR74" s="733">
        <f>SUM(AR44:AR73)</f>
        <v>48416890.54</v>
      </c>
      <c r="AS74" s="694" t="s">
        <v>56</v>
      </c>
      <c r="AT74" s="729"/>
      <c r="AU74" s="734">
        <f>SUM(AU44:AU73)</f>
        <v>6738559.120000001</v>
      </c>
      <c r="AW74" s="733">
        <f>SUM(AW44:AW61)</f>
        <v>39746657</v>
      </c>
      <c r="AX74" s="733">
        <f>SUM(AX44:AX73)</f>
        <v>54791358.19</v>
      </c>
      <c r="AY74" s="694" t="s">
        <v>56</v>
      </c>
      <c r="AZ74" s="729"/>
      <c r="BA74" s="734">
        <f>SUM(BA44:BA73)</f>
        <v>6374467.649999999</v>
      </c>
      <c r="BC74" s="733">
        <f>SUM(BC44:BC61)</f>
        <v>39746657</v>
      </c>
      <c r="BD74" s="733">
        <f>SUM(BD44:BD73)</f>
        <v>61145550.68</v>
      </c>
      <c r="BE74" s="694" t="s">
        <v>56</v>
      </c>
      <c r="BF74" s="729"/>
      <c r="BG74" s="734">
        <f>SUM(BG44:BG73)</f>
        <v>6354192.49</v>
      </c>
      <c r="BI74" s="733">
        <f>SUM(BI44:BI61)</f>
        <v>39746657</v>
      </c>
      <c r="BJ74" s="733">
        <f>SUM(BJ44:BJ73)</f>
        <v>64627518.71999999</v>
      </c>
      <c r="BK74" s="694" t="s">
        <v>56</v>
      </c>
      <c r="BL74" s="729"/>
      <c r="BM74" s="734">
        <f>SUM(BM44:BM73)</f>
        <v>3481968.04</v>
      </c>
      <c r="BO74" s="733">
        <f>SUM(BO44:BO61)</f>
        <v>39746657</v>
      </c>
      <c r="BP74" s="733">
        <f>SUM(BP44:BP73)</f>
        <v>74282383.86999999</v>
      </c>
      <c r="BQ74" s="694" t="s">
        <v>56</v>
      </c>
      <c r="BR74" s="729"/>
      <c r="BS74" s="734">
        <f>SUM(BS44:BS73)</f>
        <v>9723535.149999999</v>
      </c>
    </row>
    <row r="75" spans="1:71" ht="24" customHeight="1" thickBot="1" thickTop="1">
      <c r="A75" s="730"/>
      <c r="B75" s="736">
        <v>0</v>
      </c>
      <c r="C75" s="737" t="s">
        <v>1036</v>
      </c>
      <c r="D75" s="738"/>
      <c r="E75" s="739"/>
      <c r="F75" s="740"/>
      <c r="G75" s="730"/>
      <c r="H75" s="736">
        <v>0</v>
      </c>
      <c r="I75" s="737" t="s">
        <v>1036</v>
      </c>
      <c r="J75" s="738"/>
      <c r="K75" s="739">
        <f>+K35-K74</f>
        <v>4645488.5600000005</v>
      </c>
      <c r="M75" s="730"/>
      <c r="N75" s="736">
        <v>0</v>
      </c>
      <c r="O75" s="737" t="s">
        <v>1036</v>
      </c>
      <c r="P75" s="738"/>
      <c r="Q75" s="739">
        <f>+Q35-Q74</f>
        <v>5821451.719999999</v>
      </c>
      <c r="S75" s="730"/>
      <c r="T75" s="736">
        <v>0</v>
      </c>
      <c r="U75" s="737" t="s">
        <v>1036</v>
      </c>
      <c r="V75" s="738"/>
      <c r="W75" s="739">
        <f>+W35-W74</f>
        <v>2935269.7700000005</v>
      </c>
      <c r="Y75" s="730">
        <f>+Y74-S74</f>
        <v>0</v>
      </c>
      <c r="Z75" s="736">
        <v>0</v>
      </c>
      <c r="AA75" s="737" t="s">
        <v>1036</v>
      </c>
      <c r="AB75" s="738"/>
      <c r="AC75" s="739"/>
      <c r="AE75" s="730">
        <f>+AE74-Y74</f>
        <v>0</v>
      </c>
      <c r="AF75" s="736">
        <v>0</v>
      </c>
      <c r="AG75" s="737" t="s">
        <v>1036</v>
      </c>
      <c r="AH75" s="738"/>
      <c r="AI75" s="739">
        <f>+AI35-AI74</f>
        <v>6336403.7299999995</v>
      </c>
      <c r="AK75" s="730">
        <f>+AK74-AE74</f>
        <v>0</v>
      </c>
      <c r="AL75" s="736">
        <v>0</v>
      </c>
      <c r="AM75" s="737" t="s">
        <v>1036</v>
      </c>
      <c r="AN75" s="738"/>
      <c r="AO75" s="739"/>
      <c r="AQ75" s="730">
        <f>+AQ74-AK74</f>
        <v>0</v>
      </c>
      <c r="AR75" s="736">
        <v>0</v>
      </c>
      <c r="AS75" s="737" t="s">
        <v>1036</v>
      </c>
      <c r="AT75" s="738"/>
      <c r="AU75" s="739"/>
      <c r="AW75" s="730">
        <f>+AW74-AQ74</f>
        <v>0</v>
      </c>
      <c r="AX75" s="736"/>
      <c r="AY75" s="737" t="s">
        <v>1036</v>
      </c>
      <c r="AZ75" s="738"/>
      <c r="BA75" s="739"/>
      <c r="BC75" s="730">
        <f>+BC74-AW74</f>
        <v>0</v>
      </c>
      <c r="BD75" s="736"/>
      <c r="BE75" s="737" t="s">
        <v>1036</v>
      </c>
      <c r="BF75" s="738"/>
      <c r="BG75" s="739"/>
      <c r="BI75" s="730">
        <f>+BI74-BC74</f>
        <v>0</v>
      </c>
      <c r="BJ75" s="736"/>
      <c r="BK75" s="737" t="s">
        <v>1036</v>
      </c>
      <c r="BL75" s="738"/>
      <c r="BM75" s="739"/>
      <c r="BO75" s="730">
        <f>+BO74-BI74</f>
        <v>0</v>
      </c>
      <c r="BP75" s="736"/>
      <c r="BQ75" s="737" t="s">
        <v>1036</v>
      </c>
      <c r="BR75" s="738"/>
      <c r="BS75" s="739"/>
    </row>
    <row r="76" spans="1:71" ht="24" customHeight="1" thickTop="1">
      <c r="A76" s="730"/>
      <c r="B76" s="741"/>
      <c r="C76" s="737" t="s">
        <v>1037</v>
      </c>
      <c r="D76" s="738"/>
      <c r="E76" s="742"/>
      <c r="F76" s="743"/>
      <c r="G76" s="730"/>
      <c r="H76" s="741"/>
      <c r="I76" s="737" t="s">
        <v>1037</v>
      </c>
      <c r="J76" s="738"/>
      <c r="K76" s="742"/>
      <c r="M76" s="730"/>
      <c r="N76" s="741"/>
      <c r="O76" s="737" t="s">
        <v>1037</v>
      </c>
      <c r="P76" s="738"/>
      <c r="Q76" s="742"/>
      <c r="S76" s="730"/>
      <c r="T76" s="741"/>
      <c r="U76" s="737" t="s">
        <v>1037</v>
      </c>
      <c r="V76" s="738"/>
      <c r="W76" s="742"/>
      <c r="Y76" s="730"/>
      <c r="Z76" s="741"/>
      <c r="AA76" s="737" t="s">
        <v>1037</v>
      </c>
      <c r="AB76" s="738"/>
      <c r="AC76" s="742"/>
      <c r="AE76" s="730"/>
      <c r="AF76" s="741"/>
      <c r="AG76" s="737" t="s">
        <v>1037</v>
      </c>
      <c r="AH76" s="738"/>
      <c r="AI76" s="742"/>
      <c r="AK76" s="730"/>
      <c r="AL76" s="741"/>
      <c r="AM76" s="737" t="s">
        <v>1037</v>
      </c>
      <c r="AN76" s="738"/>
      <c r="AO76" s="742"/>
      <c r="AQ76" s="730"/>
      <c r="AR76" s="741"/>
      <c r="AS76" s="737" t="s">
        <v>1037</v>
      </c>
      <c r="AT76" s="738"/>
      <c r="AU76" s="742"/>
      <c r="AW76" s="730"/>
      <c r="AX76" s="741"/>
      <c r="AY76" s="737" t="s">
        <v>1037</v>
      </c>
      <c r="AZ76" s="738"/>
      <c r="BA76" s="742"/>
      <c r="BC76" s="730"/>
      <c r="BD76" s="741"/>
      <c r="BE76" s="737" t="s">
        <v>1037</v>
      </c>
      <c r="BF76" s="738"/>
      <c r="BG76" s="742"/>
      <c r="BI76" s="730"/>
      <c r="BJ76" s="741"/>
      <c r="BK76" s="737" t="s">
        <v>1037</v>
      </c>
      <c r="BL76" s="738"/>
      <c r="BM76" s="742"/>
      <c r="BO76" s="730"/>
      <c r="BP76" s="741"/>
      <c r="BQ76" s="737" t="s">
        <v>1037</v>
      </c>
      <c r="BR76" s="738"/>
      <c r="BS76" s="742"/>
    </row>
    <row r="77" spans="1:71" ht="24" customHeight="1">
      <c r="A77" s="730"/>
      <c r="B77" s="744"/>
      <c r="C77" s="737" t="s">
        <v>1038</v>
      </c>
      <c r="D77" s="738"/>
      <c r="E77" s="691">
        <v>-350766.3</v>
      </c>
      <c r="F77" s="678"/>
      <c r="G77" s="730"/>
      <c r="H77" s="744"/>
      <c r="I77" s="737" t="s">
        <v>1038</v>
      </c>
      <c r="J77" s="738"/>
      <c r="K77" s="691"/>
      <c r="M77" s="730"/>
      <c r="N77" s="744"/>
      <c r="O77" s="737" t="s">
        <v>1038</v>
      </c>
      <c r="P77" s="738"/>
      <c r="Q77" s="691"/>
      <c r="S77" s="730"/>
      <c r="T77" s="744"/>
      <c r="U77" s="737" t="s">
        <v>1038</v>
      </c>
      <c r="V77" s="738"/>
      <c r="W77" s="691"/>
      <c r="Y77" s="730"/>
      <c r="Z77" s="744"/>
      <c r="AA77" s="737" t="s">
        <v>1038</v>
      </c>
      <c r="AB77" s="738"/>
      <c r="AC77" s="739">
        <f>+AC35-AC74</f>
        <v>-4604414.21</v>
      </c>
      <c r="AE77" s="730"/>
      <c r="AF77" s="744"/>
      <c r="AG77" s="737" t="s">
        <v>1038</v>
      </c>
      <c r="AH77" s="738"/>
      <c r="AI77" s="739"/>
      <c r="AK77" s="730"/>
      <c r="AL77" s="744"/>
      <c r="AM77" s="737" t="s">
        <v>1038</v>
      </c>
      <c r="AN77" s="738"/>
      <c r="AO77" s="739">
        <f>+AO35-AO74</f>
        <v>-2055585.210000001</v>
      </c>
      <c r="AQ77" s="730"/>
      <c r="AR77" s="744"/>
      <c r="AS77" s="737" t="s">
        <v>1038</v>
      </c>
      <c r="AT77" s="738"/>
      <c r="AU77" s="739">
        <f>+AU35-AU74</f>
        <v>-252878.63000000175</v>
      </c>
      <c r="AW77" s="730"/>
      <c r="AX77" s="744"/>
      <c r="AY77" s="737" t="s">
        <v>1038</v>
      </c>
      <c r="AZ77" s="738"/>
      <c r="BA77" s="739">
        <f>+BA35-BA74</f>
        <v>-2159822.6900000004</v>
      </c>
      <c r="BC77" s="730"/>
      <c r="BD77" s="744"/>
      <c r="BE77" s="737" t="s">
        <v>1038</v>
      </c>
      <c r="BF77" s="738"/>
      <c r="BG77" s="739">
        <f>+BG35-BG74</f>
        <v>-88783.91000000015</v>
      </c>
      <c r="BI77" s="730"/>
      <c r="BJ77" s="744"/>
      <c r="BK77" s="737" t="s">
        <v>1038</v>
      </c>
      <c r="BL77" s="738"/>
      <c r="BM77" s="739">
        <f>+BM35-BM74</f>
        <v>-7961.040000000037</v>
      </c>
      <c r="BO77" s="730"/>
      <c r="BP77" s="744"/>
      <c r="BQ77" s="737" t="s">
        <v>1038</v>
      </c>
      <c r="BR77" s="738"/>
      <c r="BS77" s="739">
        <f>+BS35-BS74</f>
        <v>-6586503.879999999</v>
      </c>
    </row>
    <row r="78" spans="1:71" ht="24" customHeight="1" thickBot="1">
      <c r="A78" s="690"/>
      <c r="B78" s="733">
        <f>SUM(B74)</f>
        <v>3031835.4699999997</v>
      </c>
      <c r="C78" s="737" t="s">
        <v>1039</v>
      </c>
      <c r="D78" s="745"/>
      <c r="E78" s="746">
        <f>+E37-E74</f>
        <v>31494781.820000008</v>
      </c>
      <c r="G78" s="690"/>
      <c r="H78" s="733">
        <f>SUM(H74)</f>
        <v>7959462.3100000005</v>
      </c>
      <c r="I78" s="737" t="s">
        <v>1039</v>
      </c>
      <c r="J78" s="745"/>
      <c r="K78" s="746">
        <f>+K37-K74</f>
        <v>36140270.38000001</v>
      </c>
      <c r="L78" s="651">
        <v>36140270.38</v>
      </c>
      <c r="M78" s="690"/>
      <c r="N78" s="733">
        <f>SUM(N74)</f>
        <v>11646968.059999999</v>
      </c>
      <c r="O78" s="737" t="s">
        <v>1039</v>
      </c>
      <c r="P78" s="745"/>
      <c r="Q78" s="746">
        <f>+Q37-Q74</f>
        <v>41961722.10000001</v>
      </c>
      <c r="S78" s="690"/>
      <c r="T78" s="733">
        <f>SUM(T74)</f>
        <v>20634402.770000003</v>
      </c>
      <c r="U78" s="737" t="s">
        <v>1039</v>
      </c>
      <c r="V78" s="745"/>
      <c r="W78" s="746">
        <f>+W37-W74</f>
        <v>44896991.87000001</v>
      </c>
      <c r="Y78" s="690"/>
      <c r="Z78" s="733">
        <f>SUM(Z74)</f>
        <v>27369015.809999995</v>
      </c>
      <c r="AA78" s="737" t="s">
        <v>1039</v>
      </c>
      <c r="AB78" s="745"/>
      <c r="AC78" s="746">
        <f>+AC37-AC74</f>
        <v>40292577.66000001</v>
      </c>
      <c r="AE78" s="690"/>
      <c r="AF78" s="733">
        <f>SUM(AF74)</f>
        <v>34291072</v>
      </c>
      <c r="AG78" s="737" t="s">
        <v>1039</v>
      </c>
      <c r="AH78" s="745"/>
      <c r="AI78" s="746">
        <f>+AI37-AI74</f>
        <v>46628981.390000015</v>
      </c>
      <c r="AK78" s="690"/>
      <c r="AL78" s="733">
        <f>SUM(AL74)</f>
        <v>41678331.42</v>
      </c>
      <c r="AM78" s="737" t="s">
        <v>1039</v>
      </c>
      <c r="AN78" s="745"/>
      <c r="AO78" s="746">
        <f>+AO37-AO74</f>
        <v>44573396.180000015</v>
      </c>
      <c r="AQ78" s="690"/>
      <c r="AR78" s="733">
        <f>SUM(AR74)</f>
        <v>48416890.54</v>
      </c>
      <c r="AS78" s="737" t="s">
        <v>1039</v>
      </c>
      <c r="AT78" s="745"/>
      <c r="AU78" s="746">
        <f>+AU37-AU74</f>
        <v>44320517.55000001</v>
      </c>
      <c r="AW78" s="690"/>
      <c r="AX78" s="733">
        <f>SUM(AX74)</f>
        <v>54791358.19</v>
      </c>
      <c r="AY78" s="737" t="s">
        <v>1039</v>
      </c>
      <c r="AZ78" s="745"/>
      <c r="BA78" s="746">
        <f>+BA37-BA74</f>
        <v>42160694.860000014</v>
      </c>
      <c r="BC78" s="690"/>
      <c r="BD78" s="733">
        <f>SUM(BD74)</f>
        <v>61145550.68</v>
      </c>
      <c r="BE78" s="737" t="s">
        <v>1039</v>
      </c>
      <c r="BF78" s="745"/>
      <c r="BG78" s="746">
        <f>+BG37-BG74</f>
        <v>42071910.95000001</v>
      </c>
      <c r="BI78" s="690"/>
      <c r="BJ78" s="733">
        <f>SUM(BJ74)</f>
        <v>64627518.71999999</v>
      </c>
      <c r="BK78" s="737" t="s">
        <v>1039</v>
      </c>
      <c r="BL78" s="745"/>
      <c r="BM78" s="746">
        <f>+BM37-BM74</f>
        <v>42063949.91000001</v>
      </c>
      <c r="BO78" s="690"/>
      <c r="BP78" s="733">
        <f>SUM(BP74)</f>
        <v>74282383.86999999</v>
      </c>
      <c r="BQ78" s="737" t="s">
        <v>1039</v>
      </c>
      <c r="BR78" s="745"/>
      <c r="BS78" s="746">
        <f>+BS37-BS74</f>
        <v>35477446.030000016</v>
      </c>
    </row>
    <row r="79" spans="5:71" ht="20.25" thickTop="1">
      <c r="E79" s="678" t="s">
        <v>1040</v>
      </c>
      <c r="K79" s="651">
        <v>36140270.38</v>
      </c>
      <c r="Q79" s="651">
        <v>41961722.1</v>
      </c>
      <c r="R79" s="649" t="s">
        <v>1041</v>
      </c>
      <c r="W79" s="651">
        <v>44896991.870000005</v>
      </c>
      <c r="AC79" s="651">
        <v>40292577.66</v>
      </c>
      <c r="AI79" s="651">
        <v>46628981.39</v>
      </c>
      <c r="AO79" s="651">
        <v>44573396.17999999</v>
      </c>
      <c r="AU79" s="651">
        <v>44320517.55</v>
      </c>
      <c r="BA79" s="651">
        <v>42160694.86</v>
      </c>
      <c r="BG79" s="651">
        <v>42071910.95</v>
      </c>
      <c r="BM79" s="651">
        <v>42063949.91</v>
      </c>
      <c r="BR79" s="649" t="s">
        <v>1042</v>
      </c>
      <c r="BS79" s="651">
        <v>35477446.03</v>
      </c>
    </row>
    <row r="80" spans="5:73" ht="16.5">
      <c r="E80" s="748">
        <v>31494781.82</v>
      </c>
      <c r="K80" s="651">
        <f>+K79-K78</f>
        <v>0</v>
      </c>
      <c r="Q80" s="673">
        <f>+Q78-Q79</f>
        <v>0</v>
      </c>
      <c r="W80" s="673">
        <f>+W78-W79</f>
        <v>0</v>
      </c>
      <c r="AC80" s="673">
        <f>+AC78-AC79</f>
        <v>0</v>
      </c>
      <c r="AI80" s="673">
        <f>+AI78-AI79</f>
        <v>0</v>
      </c>
      <c r="AO80" s="673">
        <f>+AO78-AO79</f>
        <v>0</v>
      </c>
      <c r="AU80" s="673">
        <f>+AU78-AU79</f>
        <v>0</v>
      </c>
      <c r="BA80" s="673">
        <f>+BA78-BA79</f>
        <v>0</v>
      </c>
      <c r="BG80" s="673">
        <f>+BG78-BG79</f>
        <v>0</v>
      </c>
      <c r="BM80" s="673">
        <f>+BM78-BM79</f>
        <v>0</v>
      </c>
      <c r="BS80" s="673">
        <f>+BS78-BS79</f>
        <v>0</v>
      </c>
      <c r="BT80" s="651">
        <v>68100</v>
      </c>
      <c r="BU80" s="673">
        <f>+BS80-BT80</f>
        <v>-68100</v>
      </c>
    </row>
    <row r="81" spans="5:74" ht="16.5">
      <c r="E81" s="749">
        <f>+E80-E78</f>
        <v>0</v>
      </c>
      <c r="BT81" s="651">
        <v>647000</v>
      </c>
      <c r="BU81" s="673">
        <f>SUM(BT80:BT81)</f>
        <v>715100</v>
      </c>
      <c r="BV81" s="673">
        <f>+BU81+BS80</f>
        <v>715100</v>
      </c>
    </row>
    <row r="82" spans="71:72" ht="16.5">
      <c r="BS82" s="673"/>
      <c r="BT82" s="651">
        <f>SUM(BT80:BT81)</f>
        <v>715100</v>
      </c>
    </row>
    <row r="46336" spans="1:5" ht="16.5">
      <c r="A46336" s="649"/>
      <c r="B46336" s="649"/>
      <c r="E46336" s="649"/>
    </row>
    <row r="46337" spans="1:5" ht="16.5">
      <c r="A46337" s="649"/>
      <c r="B46337" s="649"/>
      <c r="E46337" s="649"/>
    </row>
    <row r="46338" spans="1:5" ht="16.5">
      <c r="A46338" s="649"/>
      <c r="B46338" s="649"/>
      <c r="E46338" s="649"/>
    </row>
    <row r="46339" spans="1:5" ht="16.5">
      <c r="A46339" s="649"/>
      <c r="B46339" s="649"/>
      <c r="E46339" s="649"/>
    </row>
    <row r="46340" spans="1:5" ht="16.5">
      <c r="A46340" s="649"/>
      <c r="B46340" s="649"/>
      <c r="E46340" s="649"/>
    </row>
    <row r="46341" spans="1:5" ht="16.5">
      <c r="A46341" s="649"/>
      <c r="B46341" s="649"/>
      <c r="E46341" s="649"/>
    </row>
    <row r="46342" spans="1:5" ht="16.5">
      <c r="A46342" s="649"/>
      <c r="B46342" s="649"/>
      <c r="E46342" s="649"/>
    </row>
    <row r="46343" spans="1:5" ht="16.5">
      <c r="A46343" s="649"/>
      <c r="B46343" s="649"/>
      <c r="E46343" s="649"/>
    </row>
    <row r="46344" spans="1:5" ht="16.5">
      <c r="A46344" s="649"/>
      <c r="B46344" s="649"/>
      <c r="E46344" s="649"/>
    </row>
    <row r="46345" spans="1:5" ht="16.5">
      <c r="A46345" s="649"/>
      <c r="B46345" s="649"/>
      <c r="E46345" s="649"/>
    </row>
    <row r="46346" spans="1:5" ht="16.5">
      <c r="A46346" s="649"/>
      <c r="B46346" s="649"/>
      <c r="E46346" s="649"/>
    </row>
    <row r="46347" spans="1:5" ht="16.5">
      <c r="A46347" s="649"/>
      <c r="B46347" s="649"/>
      <c r="E46347" s="649"/>
    </row>
    <row r="46348" spans="1:5" ht="16.5">
      <c r="A46348" s="649"/>
      <c r="B46348" s="649"/>
      <c r="E46348" s="649"/>
    </row>
    <row r="46349" spans="1:5" ht="16.5">
      <c r="A46349" s="649"/>
      <c r="B46349" s="649"/>
      <c r="E46349" s="649"/>
    </row>
    <row r="46350" spans="1:5" ht="16.5">
      <c r="A46350" s="649"/>
      <c r="B46350" s="649"/>
      <c r="E46350" s="649"/>
    </row>
    <row r="46351" spans="1:5" ht="16.5">
      <c r="A46351" s="649"/>
      <c r="B46351" s="649"/>
      <c r="E46351" s="649"/>
    </row>
    <row r="46352" spans="1:5" ht="16.5">
      <c r="A46352" s="649"/>
      <c r="B46352" s="649"/>
      <c r="E46352" s="649"/>
    </row>
    <row r="46353" spans="1:5" ht="16.5">
      <c r="A46353" s="649"/>
      <c r="B46353" s="649"/>
      <c r="E46353" s="649"/>
    </row>
    <row r="46354" spans="1:5" ht="16.5">
      <c r="A46354" s="649"/>
      <c r="B46354" s="649"/>
      <c r="E46354" s="649"/>
    </row>
    <row r="46355" spans="1:5" ht="16.5">
      <c r="A46355" s="649"/>
      <c r="B46355" s="649"/>
      <c r="E46355" s="649"/>
    </row>
    <row r="46356" spans="1:5" ht="16.5">
      <c r="A46356" s="649"/>
      <c r="B46356" s="649"/>
      <c r="E46356" s="649"/>
    </row>
    <row r="46357" spans="1:5" ht="16.5">
      <c r="A46357" s="649"/>
      <c r="B46357" s="649"/>
      <c r="E46357" s="649"/>
    </row>
    <row r="46358" spans="1:5" ht="16.5">
      <c r="A46358" s="649"/>
      <c r="B46358" s="649"/>
      <c r="E46358" s="649"/>
    </row>
    <row r="46359" spans="1:5" ht="16.5">
      <c r="A46359" s="649"/>
      <c r="B46359" s="649"/>
      <c r="E46359" s="649"/>
    </row>
    <row r="46360" spans="1:5" ht="16.5">
      <c r="A46360" s="649"/>
      <c r="B46360" s="649"/>
      <c r="E46360" s="649"/>
    </row>
    <row r="46361" spans="1:5" ht="16.5">
      <c r="A46361" s="649"/>
      <c r="B46361" s="649"/>
      <c r="E46361" s="649"/>
    </row>
    <row r="46362" spans="1:5" ht="16.5">
      <c r="A46362" s="649"/>
      <c r="B46362" s="649"/>
      <c r="E46362" s="649"/>
    </row>
    <row r="46363" spans="1:5" ht="16.5">
      <c r="A46363" s="649"/>
      <c r="B46363" s="649"/>
      <c r="E46363" s="649"/>
    </row>
    <row r="46364" spans="1:5" ht="16.5">
      <c r="A46364" s="649"/>
      <c r="B46364" s="649"/>
      <c r="E46364" s="649"/>
    </row>
    <row r="46365" spans="1:5" ht="16.5">
      <c r="A46365" s="649"/>
      <c r="B46365" s="649"/>
      <c r="E46365" s="649"/>
    </row>
    <row r="46366" spans="1:5" ht="16.5">
      <c r="A46366" s="649"/>
      <c r="B46366" s="649"/>
      <c r="E46366" s="649"/>
    </row>
    <row r="46367" spans="1:5" ht="16.5">
      <c r="A46367" s="649"/>
      <c r="B46367" s="649"/>
      <c r="E46367" s="649"/>
    </row>
    <row r="46368" spans="1:5" ht="16.5">
      <c r="A46368" s="649"/>
      <c r="B46368" s="649"/>
      <c r="E46368" s="649"/>
    </row>
    <row r="46369" spans="1:5" ht="16.5">
      <c r="A46369" s="649"/>
      <c r="B46369" s="649"/>
      <c r="E46369" s="649"/>
    </row>
    <row r="46370" spans="1:5" ht="16.5">
      <c r="A46370" s="649"/>
      <c r="B46370" s="649"/>
      <c r="E46370" s="649"/>
    </row>
    <row r="46371" spans="1:5" ht="16.5">
      <c r="A46371" s="649"/>
      <c r="B46371" s="649"/>
      <c r="E46371" s="649"/>
    </row>
    <row r="46372" spans="1:5" ht="16.5">
      <c r="A46372" s="649"/>
      <c r="B46372" s="649"/>
      <c r="E46372" s="649"/>
    </row>
    <row r="46373" spans="1:5" ht="16.5">
      <c r="A46373" s="649"/>
      <c r="B46373" s="649"/>
      <c r="E46373" s="649"/>
    </row>
    <row r="46374" spans="1:5" ht="16.5">
      <c r="A46374" s="649"/>
      <c r="B46374" s="649"/>
      <c r="E46374" s="649"/>
    </row>
    <row r="46375" spans="1:5" ht="16.5">
      <c r="A46375" s="649"/>
      <c r="B46375" s="649"/>
      <c r="E46375" s="649"/>
    </row>
    <row r="46376" spans="1:5" ht="16.5">
      <c r="A46376" s="649"/>
      <c r="B46376" s="649"/>
      <c r="E46376" s="649"/>
    </row>
    <row r="46377" spans="1:5" ht="16.5">
      <c r="A46377" s="649"/>
      <c r="B46377" s="649"/>
      <c r="E46377" s="649"/>
    </row>
    <row r="46378" spans="1:5" ht="16.5">
      <c r="A46378" s="649"/>
      <c r="B46378" s="649"/>
      <c r="E46378" s="649"/>
    </row>
    <row r="46379" spans="1:5" ht="16.5">
      <c r="A46379" s="649"/>
      <c r="B46379" s="649"/>
      <c r="E46379" s="649"/>
    </row>
    <row r="46380" spans="1:5" ht="16.5">
      <c r="A46380" s="649"/>
      <c r="B46380" s="649"/>
      <c r="E46380" s="649"/>
    </row>
    <row r="46381" spans="1:5" ht="16.5">
      <c r="A46381" s="649"/>
      <c r="B46381" s="649"/>
      <c r="E46381" s="649"/>
    </row>
    <row r="46382" spans="1:5" ht="16.5">
      <c r="A46382" s="649"/>
      <c r="B46382" s="649"/>
      <c r="E46382" s="649"/>
    </row>
    <row r="46383" spans="1:5" ht="16.5">
      <c r="A46383" s="649"/>
      <c r="B46383" s="649"/>
      <c r="E46383" s="649"/>
    </row>
    <row r="46384" spans="1:5" ht="16.5">
      <c r="A46384" s="649"/>
      <c r="B46384" s="649"/>
      <c r="E46384" s="649"/>
    </row>
    <row r="46385" spans="1:5" ht="16.5">
      <c r="A46385" s="649"/>
      <c r="B46385" s="649"/>
      <c r="E46385" s="649"/>
    </row>
    <row r="46386" spans="1:5" ht="16.5">
      <c r="A46386" s="649"/>
      <c r="B46386" s="649"/>
      <c r="E46386" s="649"/>
    </row>
    <row r="46387" spans="1:5" ht="16.5">
      <c r="A46387" s="649"/>
      <c r="B46387" s="649"/>
      <c r="E46387" s="649"/>
    </row>
    <row r="46388" spans="1:5" ht="16.5">
      <c r="A46388" s="649"/>
      <c r="B46388" s="649"/>
      <c r="E46388" s="649"/>
    </row>
    <row r="46389" spans="1:5" ht="16.5">
      <c r="A46389" s="649"/>
      <c r="B46389" s="649"/>
      <c r="E46389" s="649"/>
    </row>
    <row r="46390" spans="1:5" ht="16.5">
      <c r="A46390" s="649"/>
      <c r="B46390" s="649"/>
      <c r="E46390" s="649"/>
    </row>
    <row r="46391" spans="1:5" ht="16.5">
      <c r="A46391" s="649"/>
      <c r="B46391" s="649"/>
      <c r="E46391" s="649"/>
    </row>
    <row r="46392" spans="1:5" ht="16.5">
      <c r="A46392" s="649"/>
      <c r="B46392" s="649"/>
      <c r="E46392" s="649"/>
    </row>
    <row r="46393" spans="1:5" ht="16.5">
      <c r="A46393" s="649"/>
      <c r="B46393" s="649"/>
      <c r="E46393" s="649"/>
    </row>
    <row r="46394" spans="1:5" ht="16.5">
      <c r="A46394" s="649"/>
      <c r="B46394" s="649"/>
      <c r="E46394" s="649"/>
    </row>
    <row r="46395" spans="1:5" ht="16.5">
      <c r="A46395" s="649"/>
      <c r="B46395" s="649"/>
      <c r="E46395" s="649"/>
    </row>
    <row r="46396" spans="1:5" ht="16.5">
      <c r="A46396" s="649"/>
      <c r="B46396" s="649"/>
      <c r="E46396" s="649"/>
    </row>
    <row r="46397" spans="1:5" ht="16.5">
      <c r="A46397" s="649"/>
      <c r="B46397" s="649"/>
      <c r="E46397" s="649"/>
    </row>
    <row r="46398" spans="1:5" ht="16.5">
      <c r="A46398" s="649"/>
      <c r="B46398" s="649"/>
      <c r="E46398" s="649"/>
    </row>
    <row r="46399" spans="1:5" ht="16.5">
      <c r="A46399" s="649"/>
      <c r="B46399" s="649"/>
      <c r="E46399" s="649"/>
    </row>
    <row r="46400" spans="1:5" ht="16.5">
      <c r="A46400" s="649"/>
      <c r="B46400" s="649"/>
      <c r="E46400" s="649"/>
    </row>
    <row r="46401" spans="1:5" ht="16.5">
      <c r="A46401" s="649"/>
      <c r="B46401" s="649"/>
      <c r="E46401" s="649"/>
    </row>
    <row r="46402" spans="1:5" ht="16.5">
      <c r="A46402" s="649"/>
      <c r="B46402" s="649"/>
      <c r="E46402" s="649"/>
    </row>
    <row r="46403" spans="1:5" ht="16.5">
      <c r="A46403" s="649"/>
      <c r="B46403" s="649"/>
      <c r="E46403" s="649"/>
    </row>
    <row r="46404" spans="1:5" ht="16.5">
      <c r="A46404" s="649"/>
      <c r="B46404" s="649"/>
      <c r="E46404" s="649"/>
    </row>
    <row r="46405" spans="1:5" ht="16.5">
      <c r="A46405" s="649"/>
      <c r="B46405" s="649"/>
      <c r="E46405" s="649"/>
    </row>
    <row r="46406" spans="1:5" ht="16.5">
      <c r="A46406" s="649"/>
      <c r="B46406" s="649"/>
      <c r="E46406" s="649"/>
    </row>
    <row r="46407" spans="1:5" ht="16.5">
      <c r="A46407" s="649"/>
      <c r="B46407" s="649"/>
      <c r="E46407" s="649"/>
    </row>
    <row r="46408" spans="1:5" ht="16.5">
      <c r="A46408" s="649"/>
      <c r="B46408" s="649"/>
      <c r="E46408" s="649"/>
    </row>
    <row r="46409" spans="1:5" ht="16.5">
      <c r="A46409" s="649"/>
      <c r="B46409" s="649"/>
      <c r="E46409" s="649"/>
    </row>
    <row r="46410" spans="1:5" ht="16.5">
      <c r="A46410" s="649"/>
      <c r="B46410" s="649"/>
      <c r="E46410" s="649"/>
    </row>
    <row r="46411" spans="1:5" ht="16.5">
      <c r="A46411" s="649"/>
      <c r="B46411" s="649"/>
      <c r="E46411" s="649"/>
    </row>
    <row r="46412" spans="1:5" ht="16.5">
      <c r="A46412" s="649"/>
      <c r="B46412" s="649"/>
      <c r="E46412" s="649"/>
    </row>
    <row r="46413" spans="1:5" ht="16.5">
      <c r="A46413" s="649"/>
      <c r="B46413" s="649"/>
      <c r="E46413" s="649"/>
    </row>
    <row r="46414" spans="1:5" ht="16.5">
      <c r="A46414" s="649"/>
      <c r="B46414" s="649"/>
      <c r="E46414" s="649"/>
    </row>
    <row r="46415" spans="1:5" ht="16.5">
      <c r="A46415" s="649"/>
      <c r="B46415" s="649"/>
      <c r="E46415" s="649"/>
    </row>
    <row r="46416" spans="1:5" ht="16.5">
      <c r="A46416" s="649"/>
      <c r="B46416" s="649"/>
      <c r="E46416" s="649"/>
    </row>
    <row r="46417" spans="1:5" ht="16.5">
      <c r="A46417" s="649"/>
      <c r="B46417" s="649"/>
      <c r="E46417" s="649"/>
    </row>
    <row r="46418" spans="1:5" ht="16.5">
      <c r="A46418" s="649"/>
      <c r="B46418" s="649"/>
      <c r="E46418" s="649"/>
    </row>
    <row r="46419" spans="1:5" ht="16.5">
      <c r="A46419" s="649"/>
      <c r="B46419" s="649"/>
      <c r="E46419" s="649"/>
    </row>
    <row r="46420" spans="1:5" ht="16.5">
      <c r="A46420" s="649"/>
      <c r="B46420" s="649"/>
      <c r="E46420" s="649"/>
    </row>
    <row r="46421" spans="1:5" ht="16.5">
      <c r="A46421" s="649"/>
      <c r="B46421" s="649"/>
      <c r="E46421" s="649"/>
    </row>
    <row r="46422" spans="1:5" ht="16.5">
      <c r="A46422" s="649"/>
      <c r="B46422" s="649"/>
      <c r="E46422" s="649"/>
    </row>
    <row r="46423" spans="1:5" ht="16.5">
      <c r="A46423" s="649"/>
      <c r="B46423" s="649"/>
      <c r="E46423" s="649"/>
    </row>
    <row r="46424" spans="1:5" ht="16.5">
      <c r="A46424" s="649"/>
      <c r="B46424" s="649"/>
      <c r="E46424" s="649"/>
    </row>
    <row r="46425" spans="1:5" ht="16.5">
      <c r="A46425" s="649"/>
      <c r="B46425" s="649"/>
      <c r="E46425" s="649"/>
    </row>
    <row r="46426" spans="1:5" ht="16.5">
      <c r="A46426" s="649"/>
      <c r="B46426" s="649"/>
      <c r="E46426" s="649"/>
    </row>
    <row r="46427" spans="1:5" ht="16.5">
      <c r="A46427" s="649"/>
      <c r="B46427" s="649"/>
      <c r="E46427" s="649"/>
    </row>
    <row r="46428" spans="1:5" ht="16.5">
      <c r="A46428" s="649"/>
      <c r="B46428" s="649"/>
      <c r="E46428" s="649"/>
    </row>
    <row r="46429" spans="1:5" ht="16.5">
      <c r="A46429" s="649"/>
      <c r="B46429" s="649"/>
      <c r="E46429" s="649"/>
    </row>
    <row r="46430" spans="1:5" ht="16.5">
      <c r="A46430" s="649"/>
      <c r="B46430" s="649"/>
      <c r="E46430" s="649"/>
    </row>
    <row r="46431" spans="1:5" ht="16.5">
      <c r="A46431" s="649"/>
      <c r="B46431" s="649"/>
      <c r="E46431" s="649"/>
    </row>
    <row r="46432" spans="1:5" ht="16.5">
      <c r="A46432" s="649"/>
      <c r="B46432" s="649"/>
      <c r="E46432" s="649"/>
    </row>
    <row r="46433" spans="1:5" ht="16.5">
      <c r="A46433" s="649"/>
      <c r="B46433" s="649"/>
      <c r="E46433" s="649"/>
    </row>
    <row r="46434" spans="1:5" ht="16.5">
      <c r="A46434" s="649"/>
      <c r="B46434" s="649"/>
      <c r="E46434" s="649"/>
    </row>
    <row r="46435" spans="1:5" ht="16.5">
      <c r="A46435" s="649"/>
      <c r="B46435" s="649"/>
      <c r="E46435" s="649"/>
    </row>
    <row r="46436" spans="1:5" ht="16.5">
      <c r="A46436" s="649"/>
      <c r="B46436" s="649"/>
      <c r="E46436" s="649"/>
    </row>
    <row r="46437" spans="1:5" ht="16.5">
      <c r="A46437" s="649"/>
      <c r="B46437" s="649"/>
      <c r="E46437" s="649"/>
    </row>
    <row r="46438" spans="1:5" ht="16.5">
      <c r="A46438" s="649"/>
      <c r="B46438" s="649"/>
      <c r="E46438" s="649"/>
    </row>
    <row r="46439" spans="1:5" ht="16.5">
      <c r="A46439" s="649"/>
      <c r="B46439" s="649"/>
      <c r="E46439" s="649"/>
    </row>
    <row r="46440" spans="1:5" ht="16.5">
      <c r="A46440" s="649"/>
      <c r="B46440" s="649"/>
      <c r="E46440" s="649"/>
    </row>
    <row r="46441" spans="1:5" ht="16.5">
      <c r="A46441" s="649"/>
      <c r="B46441" s="649"/>
      <c r="E46441" s="649"/>
    </row>
    <row r="46442" spans="1:5" ht="16.5">
      <c r="A46442" s="649"/>
      <c r="B46442" s="649"/>
      <c r="E46442" s="649"/>
    </row>
    <row r="46443" spans="1:5" ht="16.5">
      <c r="A46443" s="649"/>
      <c r="B46443" s="649"/>
      <c r="E46443" s="649"/>
    </row>
    <row r="46444" spans="1:5" ht="16.5">
      <c r="A46444" s="649"/>
      <c r="B46444" s="649"/>
      <c r="E46444" s="649"/>
    </row>
    <row r="46445" spans="1:5" ht="16.5">
      <c r="A46445" s="649"/>
      <c r="B46445" s="649"/>
      <c r="E46445" s="649"/>
    </row>
    <row r="46446" spans="1:5" ht="16.5">
      <c r="A46446" s="649"/>
      <c r="B46446" s="649"/>
      <c r="E46446" s="649"/>
    </row>
    <row r="46447" spans="1:5" ht="16.5">
      <c r="A46447" s="649"/>
      <c r="B46447" s="649"/>
      <c r="E46447" s="649"/>
    </row>
    <row r="46448" spans="1:5" ht="16.5">
      <c r="A46448" s="649"/>
      <c r="B46448" s="649"/>
      <c r="E46448" s="649"/>
    </row>
    <row r="46449" spans="1:5" ht="16.5">
      <c r="A46449" s="649"/>
      <c r="B46449" s="649"/>
      <c r="E46449" s="649"/>
    </row>
    <row r="46450" spans="1:5" ht="16.5">
      <c r="A46450" s="649"/>
      <c r="B46450" s="649"/>
      <c r="E46450" s="649"/>
    </row>
    <row r="46451" spans="1:5" ht="16.5">
      <c r="A46451" s="649"/>
      <c r="B46451" s="649"/>
      <c r="E46451" s="649"/>
    </row>
    <row r="46452" spans="1:5" ht="16.5">
      <c r="A46452" s="649"/>
      <c r="B46452" s="649"/>
      <c r="E46452" s="649"/>
    </row>
    <row r="46453" spans="1:5" ht="16.5">
      <c r="A46453" s="649"/>
      <c r="B46453" s="649"/>
      <c r="E46453" s="649"/>
    </row>
    <row r="46454" spans="1:5" ht="16.5">
      <c r="A46454" s="649"/>
      <c r="B46454" s="649"/>
      <c r="E46454" s="649"/>
    </row>
    <row r="46455" spans="1:5" ht="16.5">
      <c r="A46455" s="649"/>
      <c r="B46455" s="649"/>
      <c r="E46455" s="649"/>
    </row>
    <row r="46456" spans="1:5" ht="16.5">
      <c r="A46456" s="649"/>
      <c r="B46456" s="649"/>
      <c r="E46456" s="649"/>
    </row>
    <row r="46457" spans="1:5" ht="16.5">
      <c r="A46457" s="649"/>
      <c r="B46457" s="649"/>
      <c r="E46457" s="649"/>
    </row>
    <row r="46458" spans="1:5" ht="16.5">
      <c r="A46458" s="649"/>
      <c r="B46458" s="649"/>
      <c r="E46458" s="649"/>
    </row>
    <row r="46459" spans="1:5" ht="16.5">
      <c r="A46459" s="649"/>
      <c r="B46459" s="649"/>
      <c r="E46459" s="649"/>
    </row>
    <row r="46460" spans="1:5" ht="16.5">
      <c r="A46460" s="649"/>
      <c r="B46460" s="649"/>
      <c r="E46460" s="649"/>
    </row>
    <row r="46461" spans="1:5" ht="16.5">
      <c r="A46461" s="649"/>
      <c r="B46461" s="649"/>
      <c r="E46461" s="649"/>
    </row>
    <row r="46462" spans="1:5" ht="16.5">
      <c r="A46462" s="649"/>
      <c r="B46462" s="649"/>
      <c r="E46462" s="649"/>
    </row>
    <row r="46463" spans="1:5" ht="16.5">
      <c r="A46463" s="649"/>
      <c r="B46463" s="649"/>
      <c r="E46463" s="649"/>
    </row>
    <row r="46464" spans="1:5" ht="16.5">
      <c r="A46464" s="649"/>
      <c r="B46464" s="649"/>
      <c r="E46464" s="649"/>
    </row>
    <row r="46465" spans="1:5" ht="16.5">
      <c r="A46465" s="649"/>
      <c r="B46465" s="649"/>
      <c r="E46465" s="649"/>
    </row>
    <row r="46466" spans="1:5" ht="16.5">
      <c r="A46466" s="649"/>
      <c r="B46466" s="649"/>
      <c r="E46466" s="649"/>
    </row>
    <row r="46467" spans="1:5" ht="16.5">
      <c r="A46467" s="649"/>
      <c r="B46467" s="649"/>
      <c r="E46467" s="649"/>
    </row>
    <row r="46468" spans="1:5" ht="16.5">
      <c r="A46468" s="649"/>
      <c r="B46468" s="649"/>
      <c r="E46468" s="649"/>
    </row>
    <row r="46469" spans="1:5" ht="16.5">
      <c r="A46469" s="649"/>
      <c r="B46469" s="649"/>
      <c r="E46469" s="649"/>
    </row>
    <row r="46470" spans="1:5" ht="16.5">
      <c r="A46470" s="649"/>
      <c r="B46470" s="649"/>
      <c r="E46470" s="649"/>
    </row>
    <row r="46471" spans="1:5" ht="16.5">
      <c r="A46471" s="649"/>
      <c r="B46471" s="649"/>
      <c r="E46471" s="649"/>
    </row>
    <row r="46472" spans="1:5" ht="16.5">
      <c r="A46472" s="649"/>
      <c r="B46472" s="649"/>
      <c r="E46472" s="649"/>
    </row>
    <row r="46473" spans="1:5" ht="16.5">
      <c r="A46473" s="649"/>
      <c r="B46473" s="649"/>
      <c r="E46473" s="649"/>
    </row>
    <row r="46474" spans="1:5" ht="16.5">
      <c r="A46474" s="649"/>
      <c r="B46474" s="649"/>
      <c r="E46474" s="649"/>
    </row>
    <row r="46475" spans="1:5" ht="16.5">
      <c r="A46475" s="649"/>
      <c r="B46475" s="649"/>
      <c r="E46475" s="649"/>
    </row>
    <row r="46476" spans="1:5" ht="16.5">
      <c r="A46476" s="649"/>
      <c r="B46476" s="649"/>
      <c r="E46476" s="649"/>
    </row>
    <row r="46477" spans="1:5" ht="16.5">
      <c r="A46477" s="649"/>
      <c r="B46477" s="649"/>
      <c r="E46477" s="649"/>
    </row>
    <row r="46478" spans="1:5" ht="16.5">
      <c r="A46478" s="649"/>
      <c r="B46478" s="649"/>
      <c r="E46478" s="649"/>
    </row>
    <row r="46479" spans="1:5" ht="16.5">
      <c r="A46479" s="649"/>
      <c r="B46479" s="649"/>
      <c r="E46479" s="649"/>
    </row>
    <row r="46480" spans="1:5" ht="16.5">
      <c r="A46480" s="649"/>
      <c r="B46480" s="649"/>
      <c r="E46480" s="649"/>
    </row>
    <row r="46481" spans="1:5" ht="16.5">
      <c r="A46481" s="649"/>
      <c r="B46481" s="649"/>
      <c r="E46481" s="649"/>
    </row>
    <row r="46482" spans="1:5" ht="16.5">
      <c r="A46482" s="649"/>
      <c r="B46482" s="649"/>
      <c r="E46482" s="649"/>
    </row>
    <row r="46483" spans="1:5" ht="16.5">
      <c r="A46483" s="649"/>
      <c r="B46483" s="649"/>
      <c r="E46483" s="649"/>
    </row>
    <row r="46484" spans="1:5" ht="16.5">
      <c r="A46484" s="649"/>
      <c r="B46484" s="649"/>
      <c r="E46484" s="649"/>
    </row>
    <row r="46485" spans="1:5" ht="16.5">
      <c r="A46485" s="649"/>
      <c r="B46485" s="649"/>
      <c r="E46485" s="649"/>
    </row>
    <row r="46486" spans="1:5" ht="16.5">
      <c r="A46486" s="649"/>
      <c r="B46486" s="649"/>
      <c r="E46486" s="649"/>
    </row>
    <row r="46487" spans="1:5" ht="16.5">
      <c r="A46487" s="649"/>
      <c r="B46487" s="649"/>
      <c r="E46487" s="649"/>
    </row>
    <row r="46488" spans="1:5" ht="16.5">
      <c r="A46488" s="649"/>
      <c r="B46488" s="649"/>
      <c r="E46488" s="649"/>
    </row>
    <row r="46489" spans="1:5" ht="16.5">
      <c r="A46489" s="649"/>
      <c r="B46489" s="649"/>
      <c r="E46489" s="649"/>
    </row>
    <row r="46490" spans="1:5" ht="16.5">
      <c r="A46490" s="649"/>
      <c r="B46490" s="649"/>
      <c r="E46490" s="649"/>
    </row>
    <row r="46491" spans="1:5" ht="16.5">
      <c r="A46491" s="649"/>
      <c r="B46491" s="649"/>
      <c r="E46491" s="649"/>
    </row>
    <row r="46492" spans="1:5" ht="16.5">
      <c r="A46492" s="649"/>
      <c r="B46492" s="649"/>
      <c r="E46492" s="649"/>
    </row>
    <row r="46493" spans="1:5" ht="16.5">
      <c r="A46493" s="649"/>
      <c r="B46493" s="649"/>
      <c r="E46493" s="649"/>
    </row>
    <row r="46494" spans="1:5" ht="16.5">
      <c r="A46494" s="649"/>
      <c r="B46494" s="649"/>
      <c r="E46494" s="649"/>
    </row>
    <row r="46495" spans="1:5" ht="16.5">
      <c r="A46495" s="649"/>
      <c r="B46495" s="649"/>
      <c r="E46495" s="649"/>
    </row>
    <row r="46496" spans="1:5" ht="16.5">
      <c r="A46496" s="649"/>
      <c r="B46496" s="649"/>
      <c r="E46496" s="649"/>
    </row>
    <row r="46497" spans="1:5" ht="16.5">
      <c r="A46497" s="649"/>
      <c r="B46497" s="649"/>
      <c r="E46497" s="649"/>
    </row>
    <row r="46498" spans="1:5" ht="16.5">
      <c r="A46498" s="649"/>
      <c r="B46498" s="649"/>
      <c r="E46498" s="649"/>
    </row>
    <row r="46499" spans="1:5" ht="16.5">
      <c r="A46499" s="649"/>
      <c r="B46499" s="649"/>
      <c r="E46499" s="649"/>
    </row>
    <row r="46500" spans="1:5" ht="16.5">
      <c r="A46500" s="649"/>
      <c r="B46500" s="649"/>
      <c r="E46500" s="649"/>
    </row>
    <row r="46501" spans="1:5" ht="16.5">
      <c r="A46501" s="649"/>
      <c r="B46501" s="649"/>
      <c r="E46501" s="649"/>
    </row>
    <row r="46502" spans="1:5" ht="16.5">
      <c r="A46502" s="649"/>
      <c r="B46502" s="649"/>
      <c r="E46502" s="649"/>
    </row>
    <row r="46503" spans="1:5" ht="16.5">
      <c r="A46503" s="649"/>
      <c r="B46503" s="649"/>
      <c r="E46503" s="649"/>
    </row>
    <row r="46504" spans="1:5" ht="16.5">
      <c r="A46504" s="649"/>
      <c r="B46504" s="649"/>
      <c r="E46504" s="649"/>
    </row>
    <row r="46505" spans="1:5" ht="16.5">
      <c r="A46505" s="649"/>
      <c r="B46505" s="649"/>
      <c r="E46505" s="649"/>
    </row>
    <row r="46506" spans="1:5" ht="16.5">
      <c r="A46506" s="649"/>
      <c r="B46506" s="649"/>
      <c r="E46506" s="649"/>
    </row>
    <row r="46507" spans="1:5" ht="16.5">
      <c r="A46507" s="649"/>
      <c r="B46507" s="649"/>
      <c r="E46507" s="649"/>
    </row>
    <row r="46508" spans="1:5" ht="16.5">
      <c r="A46508" s="649"/>
      <c r="B46508" s="649"/>
      <c r="E46508" s="649"/>
    </row>
    <row r="46509" spans="1:5" ht="16.5">
      <c r="A46509" s="649"/>
      <c r="B46509" s="649"/>
      <c r="E46509" s="649"/>
    </row>
    <row r="46510" spans="1:5" ht="16.5">
      <c r="A46510" s="649"/>
      <c r="B46510" s="649"/>
      <c r="E46510" s="649"/>
    </row>
    <row r="46511" spans="1:5" ht="16.5">
      <c r="A46511" s="649"/>
      <c r="B46511" s="649"/>
      <c r="E46511" s="649"/>
    </row>
    <row r="46512" spans="1:5" ht="16.5">
      <c r="A46512" s="649"/>
      <c r="B46512" s="649"/>
      <c r="E46512" s="649"/>
    </row>
    <row r="46513" spans="1:5" ht="16.5">
      <c r="A46513" s="649"/>
      <c r="B46513" s="649"/>
      <c r="E46513" s="649"/>
    </row>
    <row r="46514" spans="1:5" ht="16.5">
      <c r="A46514" s="649"/>
      <c r="B46514" s="649"/>
      <c r="E46514" s="649"/>
    </row>
    <row r="46515" spans="1:5" ht="16.5">
      <c r="A46515" s="649"/>
      <c r="B46515" s="649"/>
      <c r="E46515" s="649"/>
    </row>
    <row r="46516" spans="1:5" ht="16.5">
      <c r="A46516" s="649"/>
      <c r="B46516" s="649"/>
      <c r="E46516" s="649"/>
    </row>
    <row r="46517" spans="1:5" ht="16.5">
      <c r="A46517" s="649"/>
      <c r="B46517" s="649"/>
      <c r="E46517" s="649"/>
    </row>
    <row r="46518" spans="1:5" ht="16.5">
      <c r="A46518" s="649"/>
      <c r="B46518" s="649"/>
      <c r="E46518" s="649"/>
    </row>
    <row r="46519" spans="1:5" ht="16.5">
      <c r="A46519" s="649"/>
      <c r="B46519" s="649"/>
      <c r="E46519" s="649"/>
    </row>
    <row r="46520" spans="1:5" ht="16.5">
      <c r="A46520" s="649"/>
      <c r="B46520" s="649"/>
      <c r="E46520" s="649"/>
    </row>
    <row r="46521" spans="1:5" ht="16.5">
      <c r="A46521" s="649"/>
      <c r="B46521" s="649"/>
      <c r="E46521" s="649"/>
    </row>
    <row r="46522" spans="1:5" ht="16.5">
      <c r="A46522" s="649"/>
      <c r="B46522" s="649"/>
      <c r="E46522" s="649"/>
    </row>
    <row r="46523" spans="1:5" ht="16.5">
      <c r="A46523" s="649"/>
      <c r="B46523" s="649"/>
      <c r="E46523" s="649"/>
    </row>
    <row r="46524" spans="1:5" ht="16.5">
      <c r="A46524" s="649"/>
      <c r="B46524" s="649"/>
      <c r="E46524" s="649"/>
    </row>
    <row r="46525" spans="1:5" ht="16.5">
      <c r="A46525" s="649"/>
      <c r="B46525" s="649"/>
      <c r="E46525" s="649"/>
    </row>
    <row r="46526" spans="1:5" ht="16.5">
      <c r="A46526" s="649"/>
      <c r="B46526" s="649"/>
      <c r="E46526" s="649"/>
    </row>
    <row r="46527" spans="1:5" ht="16.5">
      <c r="A46527" s="649"/>
      <c r="B46527" s="649"/>
      <c r="E46527" s="649"/>
    </row>
    <row r="46528" spans="1:5" ht="16.5">
      <c r="A46528" s="649"/>
      <c r="B46528" s="649"/>
      <c r="E46528" s="649"/>
    </row>
    <row r="46529" spans="1:5" ht="16.5">
      <c r="A46529" s="649"/>
      <c r="B46529" s="649"/>
      <c r="E46529" s="649"/>
    </row>
    <row r="46530" spans="1:5" ht="16.5">
      <c r="A46530" s="649"/>
      <c r="B46530" s="649"/>
      <c r="E46530" s="649"/>
    </row>
    <row r="46531" spans="1:5" ht="16.5">
      <c r="A46531" s="649"/>
      <c r="B46531" s="649"/>
      <c r="E46531" s="649"/>
    </row>
    <row r="46532" spans="1:5" ht="16.5">
      <c r="A46532" s="649"/>
      <c r="B46532" s="649"/>
      <c r="E46532" s="649"/>
    </row>
    <row r="46533" spans="1:5" ht="16.5">
      <c r="A46533" s="649"/>
      <c r="B46533" s="649"/>
      <c r="E46533" s="649"/>
    </row>
    <row r="46534" spans="1:5" ht="16.5">
      <c r="A46534" s="649"/>
      <c r="B46534" s="649"/>
      <c r="E46534" s="649"/>
    </row>
    <row r="46535" spans="1:5" ht="16.5">
      <c r="A46535" s="649"/>
      <c r="B46535" s="649"/>
      <c r="E46535" s="649"/>
    </row>
    <row r="46536" spans="1:5" ht="16.5">
      <c r="A46536" s="649"/>
      <c r="B46536" s="649"/>
      <c r="E46536" s="649"/>
    </row>
    <row r="46537" spans="1:5" ht="16.5">
      <c r="A46537" s="649"/>
      <c r="B46537" s="649"/>
      <c r="E46537" s="649"/>
    </row>
    <row r="46538" spans="1:5" ht="16.5">
      <c r="A46538" s="649"/>
      <c r="B46538" s="649"/>
      <c r="E46538" s="649"/>
    </row>
    <row r="46539" spans="1:5" ht="16.5">
      <c r="A46539" s="649"/>
      <c r="B46539" s="649"/>
      <c r="E46539" s="649"/>
    </row>
    <row r="46540" spans="1:5" ht="16.5">
      <c r="A46540" s="649"/>
      <c r="B46540" s="649"/>
      <c r="E46540" s="649"/>
    </row>
    <row r="46541" spans="1:5" ht="16.5">
      <c r="A46541" s="649"/>
      <c r="B46541" s="649"/>
      <c r="E46541" s="649"/>
    </row>
    <row r="46542" spans="1:5" ht="16.5">
      <c r="A46542" s="649"/>
      <c r="B46542" s="649"/>
      <c r="E46542" s="649"/>
    </row>
    <row r="46543" spans="1:5" ht="16.5">
      <c r="A46543" s="649"/>
      <c r="B46543" s="649"/>
      <c r="E46543" s="649"/>
    </row>
    <row r="46544" spans="1:5" ht="16.5">
      <c r="A46544" s="649"/>
      <c r="B46544" s="649"/>
      <c r="E46544" s="649"/>
    </row>
    <row r="46545" spans="1:5" ht="16.5">
      <c r="A46545" s="649"/>
      <c r="B46545" s="649"/>
      <c r="E46545" s="649"/>
    </row>
    <row r="46546" spans="1:5" ht="16.5">
      <c r="A46546" s="649"/>
      <c r="B46546" s="649"/>
      <c r="E46546" s="649"/>
    </row>
    <row r="46547" spans="1:5" ht="16.5">
      <c r="A46547" s="649"/>
      <c r="B46547" s="649"/>
      <c r="E46547" s="649"/>
    </row>
    <row r="46548" spans="1:5" ht="16.5">
      <c r="A46548" s="649"/>
      <c r="B46548" s="649"/>
      <c r="E46548" s="649"/>
    </row>
    <row r="46549" spans="1:5" ht="16.5">
      <c r="A46549" s="649"/>
      <c r="B46549" s="649"/>
      <c r="E46549" s="649"/>
    </row>
    <row r="46550" spans="1:5" ht="16.5">
      <c r="A46550" s="649"/>
      <c r="B46550" s="649"/>
      <c r="E46550" s="649"/>
    </row>
    <row r="46551" spans="1:5" ht="16.5">
      <c r="A46551" s="649"/>
      <c r="B46551" s="649"/>
      <c r="E46551" s="649"/>
    </row>
    <row r="46552" spans="1:5" ht="16.5">
      <c r="A46552" s="649"/>
      <c r="B46552" s="649"/>
      <c r="E46552" s="649"/>
    </row>
    <row r="46553" spans="1:5" ht="16.5">
      <c r="A46553" s="649"/>
      <c r="B46553" s="649"/>
      <c r="E46553" s="649"/>
    </row>
    <row r="46554" spans="1:5" ht="16.5">
      <c r="A46554" s="649"/>
      <c r="B46554" s="649"/>
      <c r="E46554" s="649"/>
    </row>
    <row r="46555" spans="1:5" ht="16.5">
      <c r="A46555" s="649"/>
      <c r="B46555" s="649"/>
      <c r="E46555" s="649"/>
    </row>
    <row r="46556" spans="1:5" ht="16.5">
      <c r="A46556" s="649"/>
      <c r="B46556" s="649"/>
      <c r="E46556" s="649"/>
    </row>
    <row r="46557" spans="1:5" ht="16.5">
      <c r="A46557" s="649"/>
      <c r="B46557" s="649"/>
      <c r="E46557" s="649"/>
    </row>
    <row r="46558" spans="1:5" ht="16.5">
      <c r="A46558" s="649"/>
      <c r="B46558" s="649"/>
      <c r="E46558" s="649"/>
    </row>
    <row r="46559" spans="1:5" ht="16.5">
      <c r="A46559" s="649"/>
      <c r="B46559" s="649"/>
      <c r="E46559" s="649"/>
    </row>
    <row r="46560" spans="1:5" ht="16.5">
      <c r="A46560" s="649"/>
      <c r="B46560" s="649"/>
      <c r="E46560" s="649"/>
    </row>
    <row r="46561" spans="1:5" ht="16.5">
      <c r="A46561" s="649"/>
      <c r="B46561" s="649"/>
      <c r="E46561" s="649"/>
    </row>
    <row r="46562" spans="1:5" ht="16.5">
      <c r="A46562" s="649"/>
      <c r="B46562" s="649"/>
      <c r="E46562" s="649"/>
    </row>
    <row r="46563" spans="1:5" ht="16.5">
      <c r="A46563" s="649"/>
      <c r="B46563" s="649"/>
      <c r="E46563" s="649"/>
    </row>
    <row r="46564" spans="1:5" ht="16.5">
      <c r="A46564" s="649"/>
      <c r="B46564" s="649"/>
      <c r="E46564" s="649"/>
    </row>
    <row r="46565" spans="1:5" ht="16.5">
      <c r="A46565" s="649"/>
      <c r="B46565" s="649"/>
      <c r="E46565" s="649"/>
    </row>
    <row r="46566" spans="1:5" ht="16.5">
      <c r="A46566" s="649"/>
      <c r="B46566" s="649"/>
      <c r="E46566" s="649"/>
    </row>
    <row r="46567" spans="1:5" ht="16.5">
      <c r="A46567" s="649"/>
      <c r="B46567" s="649"/>
      <c r="E46567" s="649"/>
    </row>
    <row r="46568" spans="1:5" ht="16.5">
      <c r="A46568" s="649"/>
      <c r="B46568" s="649"/>
      <c r="E46568" s="649"/>
    </row>
    <row r="46569" spans="1:5" ht="16.5">
      <c r="A46569" s="649"/>
      <c r="B46569" s="649"/>
      <c r="E46569" s="649"/>
    </row>
    <row r="46570" spans="1:5" ht="16.5">
      <c r="A46570" s="649"/>
      <c r="B46570" s="649"/>
      <c r="E46570" s="649"/>
    </row>
    <row r="46571" spans="1:5" ht="16.5">
      <c r="A46571" s="649"/>
      <c r="B46571" s="649"/>
      <c r="E46571" s="649"/>
    </row>
    <row r="46572" spans="1:5" ht="16.5">
      <c r="A46572" s="649"/>
      <c r="B46572" s="649"/>
      <c r="E46572" s="649"/>
    </row>
    <row r="46573" spans="1:5" ht="16.5">
      <c r="A46573" s="649"/>
      <c r="B46573" s="649"/>
      <c r="E46573" s="649"/>
    </row>
    <row r="46574" spans="1:5" ht="16.5">
      <c r="A46574" s="649"/>
      <c r="B46574" s="649"/>
      <c r="E46574" s="649"/>
    </row>
    <row r="46575" spans="1:5" ht="16.5">
      <c r="A46575" s="649"/>
      <c r="B46575" s="649"/>
      <c r="E46575" s="649"/>
    </row>
    <row r="46576" spans="1:5" ht="16.5">
      <c r="A46576" s="649"/>
      <c r="B46576" s="649"/>
      <c r="E46576" s="649"/>
    </row>
    <row r="46577" spans="1:5" ht="16.5">
      <c r="A46577" s="649"/>
      <c r="B46577" s="649"/>
      <c r="E46577" s="649"/>
    </row>
    <row r="46578" spans="1:5" ht="16.5">
      <c r="A46578" s="649"/>
      <c r="B46578" s="649"/>
      <c r="E46578" s="649"/>
    </row>
    <row r="46579" spans="1:5" ht="16.5">
      <c r="A46579" s="649"/>
      <c r="B46579" s="649"/>
      <c r="E46579" s="649"/>
    </row>
    <row r="46580" spans="1:5" ht="16.5">
      <c r="A46580" s="649"/>
      <c r="B46580" s="649"/>
      <c r="E46580" s="649"/>
    </row>
    <row r="46581" spans="1:5" ht="16.5">
      <c r="A46581" s="649"/>
      <c r="B46581" s="649"/>
      <c r="E46581" s="649"/>
    </row>
    <row r="46582" spans="1:5" ht="16.5">
      <c r="A46582" s="649"/>
      <c r="B46582" s="649"/>
      <c r="E46582" s="649"/>
    </row>
    <row r="46583" spans="1:5" ht="16.5">
      <c r="A46583" s="649"/>
      <c r="B46583" s="649"/>
      <c r="E46583" s="649"/>
    </row>
    <row r="46584" spans="1:5" ht="16.5">
      <c r="A46584" s="649"/>
      <c r="B46584" s="649"/>
      <c r="E46584" s="649"/>
    </row>
    <row r="46585" spans="1:5" ht="16.5">
      <c r="A46585" s="649"/>
      <c r="B46585" s="649"/>
      <c r="E46585" s="649"/>
    </row>
    <row r="46586" spans="1:5" ht="16.5">
      <c r="A46586" s="649"/>
      <c r="B46586" s="649"/>
      <c r="E46586" s="649"/>
    </row>
    <row r="46587" spans="1:5" ht="16.5">
      <c r="A46587" s="649"/>
      <c r="B46587" s="649"/>
      <c r="E46587" s="649"/>
    </row>
    <row r="46588" spans="1:5" ht="16.5">
      <c r="A46588" s="649"/>
      <c r="B46588" s="649"/>
      <c r="E46588" s="649"/>
    </row>
    <row r="46589" spans="1:5" ht="16.5">
      <c r="A46589" s="649"/>
      <c r="B46589" s="649"/>
      <c r="E46589" s="649"/>
    </row>
    <row r="46590" spans="1:5" ht="16.5">
      <c r="A46590" s="649"/>
      <c r="B46590" s="649"/>
      <c r="E46590" s="649"/>
    </row>
    <row r="46591" spans="1:5" ht="16.5">
      <c r="A46591" s="649"/>
      <c r="B46591" s="649"/>
      <c r="E46591" s="649"/>
    </row>
    <row r="46592" spans="1:5" ht="16.5">
      <c r="A46592" s="649"/>
      <c r="B46592" s="649"/>
      <c r="E46592" s="649"/>
    </row>
    <row r="46593" spans="1:5" ht="16.5">
      <c r="A46593" s="649"/>
      <c r="B46593" s="649"/>
      <c r="E46593" s="649"/>
    </row>
    <row r="46594" spans="1:5" ht="16.5">
      <c r="A46594" s="649"/>
      <c r="B46594" s="649"/>
      <c r="E46594" s="649"/>
    </row>
    <row r="46595" spans="1:5" ht="16.5">
      <c r="A46595" s="649"/>
      <c r="B46595" s="649"/>
      <c r="E46595" s="649"/>
    </row>
    <row r="46596" spans="1:5" ht="16.5">
      <c r="A46596" s="649"/>
      <c r="B46596" s="649"/>
      <c r="E46596" s="649"/>
    </row>
    <row r="46597" spans="1:5" ht="16.5">
      <c r="A46597" s="649"/>
      <c r="B46597" s="649"/>
      <c r="E46597" s="649"/>
    </row>
    <row r="46598" spans="1:5" ht="16.5">
      <c r="A46598" s="649"/>
      <c r="B46598" s="649"/>
      <c r="E46598" s="649"/>
    </row>
    <row r="46599" spans="1:5" ht="16.5">
      <c r="A46599" s="649"/>
      <c r="B46599" s="649"/>
      <c r="E46599" s="649"/>
    </row>
    <row r="46600" spans="1:5" ht="16.5">
      <c r="A46600" s="649"/>
      <c r="B46600" s="649"/>
      <c r="E46600" s="649"/>
    </row>
    <row r="46601" spans="1:5" ht="16.5">
      <c r="A46601" s="649"/>
      <c r="B46601" s="649"/>
      <c r="E46601" s="649"/>
    </row>
    <row r="46602" spans="1:5" ht="16.5">
      <c r="A46602" s="649"/>
      <c r="B46602" s="649"/>
      <c r="E46602" s="649"/>
    </row>
    <row r="46603" spans="1:5" ht="16.5">
      <c r="A46603" s="649"/>
      <c r="B46603" s="649"/>
      <c r="E46603" s="649"/>
    </row>
    <row r="46604" spans="1:5" ht="16.5">
      <c r="A46604" s="649"/>
      <c r="B46604" s="649"/>
      <c r="E46604" s="649"/>
    </row>
    <row r="46605" spans="1:5" ht="16.5">
      <c r="A46605" s="649"/>
      <c r="B46605" s="649"/>
      <c r="E46605" s="649"/>
    </row>
    <row r="46606" spans="1:5" ht="16.5">
      <c r="A46606" s="649"/>
      <c r="B46606" s="649"/>
      <c r="E46606" s="649"/>
    </row>
    <row r="46607" spans="1:5" ht="16.5">
      <c r="A46607" s="649"/>
      <c r="B46607" s="649"/>
      <c r="E46607" s="649"/>
    </row>
    <row r="46608" spans="1:5" ht="16.5">
      <c r="A46608" s="649"/>
      <c r="B46608" s="649"/>
      <c r="E46608" s="649"/>
    </row>
    <row r="46609" spans="1:5" ht="16.5">
      <c r="A46609" s="649"/>
      <c r="B46609" s="649"/>
      <c r="E46609" s="649"/>
    </row>
    <row r="46610" spans="1:5" ht="16.5">
      <c r="A46610" s="649"/>
      <c r="B46610" s="649"/>
      <c r="E46610" s="649"/>
    </row>
    <row r="46611" spans="1:5" ht="16.5">
      <c r="A46611" s="649"/>
      <c r="B46611" s="649"/>
      <c r="E46611" s="649"/>
    </row>
    <row r="46612" spans="1:5" ht="16.5">
      <c r="A46612" s="649"/>
      <c r="B46612" s="649"/>
      <c r="E46612" s="649"/>
    </row>
    <row r="46613" spans="1:5" ht="16.5">
      <c r="A46613" s="649"/>
      <c r="B46613" s="649"/>
      <c r="E46613" s="649"/>
    </row>
    <row r="46614" spans="1:5" ht="16.5">
      <c r="A46614" s="649"/>
      <c r="B46614" s="649"/>
      <c r="E46614" s="649"/>
    </row>
    <row r="46615" spans="1:5" ht="16.5">
      <c r="A46615" s="649"/>
      <c r="B46615" s="649"/>
      <c r="E46615" s="649"/>
    </row>
    <row r="46616" spans="1:5" ht="16.5">
      <c r="A46616" s="649"/>
      <c r="B46616" s="649"/>
      <c r="E46616" s="649"/>
    </row>
    <row r="46617" spans="1:5" ht="16.5">
      <c r="A46617" s="649"/>
      <c r="B46617" s="649"/>
      <c r="E46617" s="649"/>
    </row>
    <row r="46618" spans="1:5" ht="16.5">
      <c r="A46618" s="649"/>
      <c r="B46618" s="649"/>
      <c r="E46618" s="649"/>
    </row>
    <row r="46619" spans="1:5" ht="16.5">
      <c r="A46619" s="649"/>
      <c r="B46619" s="649"/>
      <c r="E46619" s="649"/>
    </row>
    <row r="46620" spans="1:5" ht="16.5">
      <c r="A46620" s="649"/>
      <c r="B46620" s="649"/>
      <c r="E46620" s="649"/>
    </row>
    <row r="46621" spans="1:5" ht="16.5">
      <c r="A46621" s="649"/>
      <c r="B46621" s="649"/>
      <c r="E46621" s="649"/>
    </row>
    <row r="46622" spans="1:5" ht="16.5">
      <c r="A46622" s="649"/>
      <c r="B46622" s="649"/>
      <c r="E46622" s="649"/>
    </row>
    <row r="46623" spans="1:5" ht="16.5">
      <c r="A46623" s="649"/>
      <c r="B46623" s="649"/>
      <c r="E46623" s="649"/>
    </row>
    <row r="46624" spans="1:5" ht="16.5">
      <c r="A46624" s="649"/>
      <c r="B46624" s="649"/>
      <c r="E46624" s="649"/>
    </row>
    <row r="46625" spans="1:5" ht="16.5">
      <c r="A46625" s="649"/>
      <c r="B46625" s="649"/>
      <c r="E46625" s="649"/>
    </row>
    <row r="46626" spans="1:5" ht="16.5">
      <c r="A46626" s="649"/>
      <c r="B46626" s="649"/>
      <c r="E46626" s="649"/>
    </row>
    <row r="46627" spans="1:5" ht="16.5">
      <c r="A46627" s="649"/>
      <c r="B46627" s="649"/>
      <c r="E46627" s="649"/>
    </row>
    <row r="46628" spans="1:5" ht="16.5">
      <c r="A46628" s="649"/>
      <c r="B46628" s="649"/>
      <c r="E46628" s="649"/>
    </row>
    <row r="46629" spans="1:5" ht="16.5">
      <c r="A46629" s="649"/>
      <c r="B46629" s="649"/>
      <c r="E46629" s="649"/>
    </row>
    <row r="46630" spans="1:5" ht="16.5">
      <c r="A46630" s="649"/>
      <c r="B46630" s="649"/>
      <c r="E46630" s="649"/>
    </row>
    <row r="46631" spans="1:5" ht="16.5">
      <c r="A46631" s="649"/>
      <c r="B46631" s="649"/>
      <c r="E46631" s="649"/>
    </row>
    <row r="46632" spans="1:5" ht="16.5">
      <c r="A46632" s="649"/>
      <c r="B46632" s="649"/>
      <c r="E46632" s="649"/>
    </row>
    <row r="46633" spans="1:5" ht="16.5">
      <c r="A46633" s="649"/>
      <c r="B46633" s="649"/>
      <c r="E46633" s="649"/>
    </row>
    <row r="46634" spans="1:5" ht="16.5">
      <c r="A46634" s="649"/>
      <c r="B46634" s="649"/>
      <c r="E46634" s="649"/>
    </row>
    <row r="46635" spans="1:5" ht="16.5">
      <c r="A46635" s="649"/>
      <c r="B46635" s="649"/>
      <c r="E46635" s="649"/>
    </row>
    <row r="46636" spans="1:5" ht="16.5">
      <c r="A46636" s="649"/>
      <c r="B46636" s="649"/>
      <c r="E46636" s="649"/>
    </row>
    <row r="46637" spans="1:5" ht="16.5">
      <c r="A46637" s="649"/>
      <c r="B46637" s="649"/>
      <c r="E46637" s="649"/>
    </row>
    <row r="46638" spans="1:5" ht="16.5">
      <c r="A46638" s="649"/>
      <c r="B46638" s="649"/>
      <c r="E46638" s="649"/>
    </row>
    <row r="46639" spans="1:5" ht="16.5">
      <c r="A46639" s="649"/>
      <c r="B46639" s="649"/>
      <c r="E46639" s="649"/>
    </row>
    <row r="46640" spans="1:5" ht="16.5">
      <c r="A46640" s="649"/>
      <c r="B46640" s="649"/>
      <c r="E46640" s="649"/>
    </row>
    <row r="46641" spans="1:5" ht="16.5">
      <c r="A46641" s="649"/>
      <c r="B46641" s="649"/>
      <c r="E46641" s="649"/>
    </row>
    <row r="46642" spans="1:5" ht="16.5">
      <c r="A46642" s="649"/>
      <c r="B46642" s="649"/>
      <c r="E46642" s="649"/>
    </row>
    <row r="46643" spans="1:5" ht="16.5">
      <c r="A46643" s="649"/>
      <c r="B46643" s="649"/>
      <c r="E46643" s="649"/>
    </row>
    <row r="46644" spans="1:5" ht="16.5">
      <c r="A46644" s="649"/>
      <c r="B46644" s="649"/>
      <c r="E46644" s="649"/>
    </row>
    <row r="46645" spans="1:5" ht="16.5">
      <c r="A46645" s="649"/>
      <c r="B46645" s="649"/>
      <c r="E46645" s="649"/>
    </row>
    <row r="46646" spans="1:5" ht="16.5">
      <c r="A46646" s="649"/>
      <c r="B46646" s="649"/>
      <c r="E46646" s="649"/>
    </row>
    <row r="46647" spans="1:5" ht="16.5">
      <c r="A46647" s="649"/>
      <c r="B46647" s="649"/>
      <c r="E46647" s="649"/>
    </row>
    <row r="46648" spans="1:5" ht="16.5">
      <c r="A46648" s="649"/>
      <c r="B46648" s="649"/>
      <c r="E46648" s="649"/>
    </row>
    <row r="46649" spans="1:5" ht="16.5">
      <c r="A46649" s="649"/>
      <c r="B46649" s="649"/>
      <c r="E46649" s="649"/>
    </row>
    <row r="46650" spans="1:5" ht="16.5">
      <c r="A46650" s="649"/>
      <c r="B46650" s="649"/>
      <c r="E46650" s="649"/>
    </row>
    <row r="46651" spans="1:5" ht="16.5">
      <c r="A46651" s="649"/>
      <c r="B46651" s="649"/>
      <c r="E46651" s="649"/>
    </row>
    <row r="46652" spans="1:5" ht="16.5">
      <c r="A46652" s="649"/>
      <c r="B46652" s="649"/>
      <c r="E46652" s="649"/>
    </row>
    <row r="46653" spans="1:5" ht="16.5">
      <c r="A46653" s="649"/>
      <c r="B46653" s="649"/>
      <c r="E46653" s="649"/>
    </row>
    <row r="46654" spans="1:5" ht="16.5">
      <c r="A46654" s="649"/>
      <c r="B46654" s="649"/>
      <c r="E46654" s="649"/>
    </row>
    <row r="46655" spans="1:5" ht="16.5">
      <c r="A46655" s="649"/>
      <c r="B46655" s="649"/>
      <c r="E46655" s="649"/>
    </row>
    <row r="46656" spans="1:5" ht="16.5">
      <c r="A46656" s="649"/>
      <c r="B46656" s="649"/>
      <c r="E46656" s="649"/>
    </row>
    <row r="46657" spans="1:5" ht="16.5">
      <c r="A46657" s="649"/>
      <c r="B46657" s="649"/>
      <c r="E46657" s="649"/>
    </row>
    <row r="46658" spans="1:5" ht="16.5">
      <c r="A46658" s="649"/>
      <c r="B46658" s="649"/>
      <c r="E46658" s="649"/>
    </row>
    <row r="46659" spans="1:5" ht="16.5">
      <c r="A46659" s="649"/>
      <c r="B46659" s="649"/>
      <c r="E46659" s="649"/>
    </row>
    <row r="46660" spans="1:5" ht="16.5">
      <c r="A46660" s="649"/>
      <c r="B46660" s="649"/>
      <c r="E46660" s="649"/>
    </row>
    <row r="46661" spans="1:5" ht="16.5">
      <c r="A46661" s="649"/>
      <c r="B46661" s="649"/>
      <c r="E46661" s="649"/>
    </row>
    <row r="46662" spans="1:5" ht="16.5">
      <c r="A46662" s="649"/>
      <c r="B46662" s="649"/>
      <c r="E46662" s="649"/>
    </row>
    <row r="46663" spans="1:5" ht="16.5">
      <c r="A46663" s="649"/>
      <c r="B46663" s="649"/>
      <c r="E46663" s="649"/>
    </row>
    <row r="46664" spans="1:5" ht="16.5">
      <c r="A46664" s="649"/>
      <c r="B46664" s="649"/>
      <c r="E46664" s="649"/>
    </row>
    <row r="46665" spans="1:5" ht="16.5">
      <c r="A46665" s="649"/>
      <c r="B46665" s="649"/>
      <c r="E46665" s="649"/>
    </row>
    <row r="46666" spans="1:5" ht="16.5">
      <c r="A46666" s="649"/>
      <c r="B46666" s="649"/>
      <c r="E46666" s="649"/>
    </row>
    <row r="46667" spans="1:5" ht="16.5">
      <c r="A46667" s="649"/>
      <c r="B46667" s="649"/>
      <c r="E46667" s="649"/>
    </row>
    <row r="46668" spans="1:5" ht="16.5">
      <c r="A46668" s="649"/>
      <c r="B46668" s="649"/>
      <c r="E46668" s="649"/>
    </row>
    <row r="46669" spans="1:5" ht="16.5">
      <c r="A46669" s="649"/>
      <c r="B46669" s="649"/>
      <c r="E46669" s="649"/>
    </row>
    <row r="46670" spans="1:5" ht="16.5">
      <c r="A46670" s="649"/>
      <c r="B46670" s="649"/>
      <c r="E46670" s="649"/>
    </row>
    <row r="46671" spans="1:5" ht="16.5">
      <c r="A46671" s="649"/>
      <c r="B46671" s="649"/>
      <c r="E46671" s="649"/>
    </row>
    <row r="46672" spans="1:5" ht="16.5">
      <c r="A46672" s="649"/>
      <c r="B46672" s="649"/>
      <c r="E46672" s="649"/>
    </row>
    <row r="46673" spans="1:5" ht="16.5">
      <c r="A46673" s="649"/>
      <c r="B46673" s="649"/>
      <c r="E46673" s="649"/>
    </row>
    <row r="46674" spans="1:5" ht="16.5">
      <c r="A46674" s="649"/>
      <c r="B46674" s="649"/>
      <c r="E46674" s="649"/>
    </row>
    <row r="46675" spans="1:5" ht="16.5">
      <c r="A46675" s="649"/>
      <c r="B46675" s="649"/>
      <c r="E46675" s="649"/>
    </row>
    <row r="46676" spans="1:5" ht="16.5">
      <c r="A46676" s="649"/>
      <c r="B46676" s="649"/>
      <c r="E46676" s="649"/>
    </row>
    <row r="46677" spans="1:5" ht="16.5">
      <c r="A46677" s="649"/>
      <c r="B46677" s="649"/>
      <c r="E46677" s="649"/>
    </row>
    <row r="46678" spans="1:5" ht="16.5">
      <c r="A46678" s="649"/>
      <c r="B46678" s="649"/>
      <c r="E46678" s="649"/>
    </row>
    <row r="46679" spans="1:5" ht="16.5">
      <c r="A46679" s="649"/>
      <c r="B46679" s="649"/>
      <c r="E46679" s="649"/>
    </row>
    <row r="46680" spans="1:5" ht="16.5">
      <c r="A46680" s="649"/>
      <c r="B46680" s="649"/>
      <c r="E46680" s="649"/>
    </row>
    <row r="46681" spans="1:5" ht="16.5">
      <c r="A46681" s="649"/>
      <c r="B46681" s="649"/>
      <c r="E46681" s="649"/>
    </row>
    <row r="46682" spans="1:5" ht="16.5">
      <c r="A46682" s="649"/>
      <c r="B46682" s="649"/>
      <c r="E46682" s="649"/>
    </row>
    <row r="46683" spans="1:5" ht="16.5">
      <c r="A46683" s="649"/>
      <c r="B46683" s="649"/>
      <c r="E46683" s="649"/>
    </row>
    <row r="46684" spans="1:5" ht="16.5">
      <c r="A46684" s="649"/>
      <c r="B46684" s="649"/>
      <c r="E46684" s="649"/>
    </row>
    <row r="46685" spans="1:5" ht="16.5">
      <c r="A46685" s="649"/>
      <c r="B46685" s="649"/>
      <c r="E46685" s="649"/>
    </row>
    <row r="46686" spans="1:5" ht="16.5">
      <c r="A46686" s="649"/>
      <c r="B46686" s="649"/>
      <c r="E46686" s="649"/>
    </row>
    <row r="46687" spans="1:5" ht="16.5">
      <c r="A46687" s="649"/>
      <c r="B46687" s="649"/>
      <c r="E46687" s="649"/>
    </row>
    <row r="46688" spans="1:5" ht="16.5">
      <c r="A46688" s="649"/>
      <c r="B46688" s="649"/>
      <c r="E46688" s="649"/>
    </row>
    <row r="46689" spans="1:5" ht="16.5">
      <c r="A46689" s="649"/>
      <c r="B46689" s="649"/>
      <c r="E46689" s="649"/>
    </row>
    <row r="46690" spans="1:5" ht="16.5">
      <c r="A46690" s="649"/>
      <c r="B46690" s="649"/>
      <c r="E46690" s="649"/>
    </row>
    <row r="46691" spans="1:5" ht="16.5">
      <c r="A46691" s="649"/>
      <c r="B46691" s="649"/>
      <c r="E46691" s="649"/>
    </row>
    <row r="46692" spans="1:5" ht="16.5">
      <c r="A46692" s="649"/>
      <c r="B46692" s="649"/>
      <c r="E46692" s="649"/>
    </row>
    <row r="46693" spans="1:5" ht="16.5">
      <c r="A46693" s="649"/>
      <c r="B46693" s="649"/>
      <c r="E46693" s="649"/>
    </row>
    <row r="46694" spans="1:5" ht="16.5">
      <c r="A46694" s="649"/>
      <c r="B46694" s="649"/>
      <c r="E46694" s="649"/>
    </row>
    <row r="46695" spans="1:5" ht="16.5">
      <c r="A46695" s="649"/>
      <c r="B46695" s="649"/>
      <c r="E46695" s="649"/>
    </row>
    <row r="46696" spans="1:5" ht="16.5">
      <c r="A46696" s="649"/>
      <c r="B46696" s="649"/>
      <c r="E46696" s="649"/>
    </row>
    <row r="46697" spans="1:5" ht="16.5">
      <c r="A46697" s="649"/>
      <c r="B46697" s="649"/>
      <c r="E46697" s="649"/>
    </row>
    <row r="46698" spans="1:5" ht="16.5">
      <c r="A46698" s="649"/>
      <c r="B46698" s="649"/>
      <c r="E46698" s="649"/>
    </row>
    <row r="46699" spans="1:5" ht="16.5">
      <c r="A46699" s="649"/>
      <c r="B46699" s="649"/>
      <c r="E46699" s="649"/>
    </row>
    <row r="46700" spans="1:5" ht="16.5">
      <c r="A46700" s="649"/>
      <c r="B46700" s="649"/>
      <c r="E46700" s="649"/>
    </row>
    <row r="46701" spans="1:5" ht="16.5">
      <c r="A46701" s="649"/>
      <c r="B46701" s="649"/>
      <c r="E46701" s="649"/>
    </row>
    <row r="46702" spans="1:5" ht="16.5">
      <c r="A46702" s="649"/>
      <c r="B46702" s="649"/>
      <c r="E46702" s="649"/>
    </row>
    <row r="46703" spans="1:5" ht="16.5">
      <c r="A46703" s="649"/>
      <c r="B46703" s="649"/>
      <c r="E46703" s="649"/>
    </row>
    <row r="46704" spans="1:5" ht="16.5">
      <c r="A46704" s="649"/>
      <c r="B46704" s="649"/>
      <c r="E46704" s="649"/>
    </row>
    <row r="46705" spans="1:5" ht="16.5">
      <c r="A46705" s="649"/>
      <c r="B46705" s="649"/>
      <c r="E46705" s="649"/>
    </row>
    <row r="46706" spans="1:5" ht="16.5">
      <c r="A46706" s="649"/>
      <c r="B46706" s="649"/>
      <c r="E46706" s="649"/>
    </row>
    <row r="46707" spans="1:5" ht="16.5">
      <c r="A46707" s="649"/>
      <c r="B46707" s="649"/>
      <c r="E46707" s="649"/>
    </row>
    <row r="46708" spans="1:5" ht="16.5">
      <c r="A46708" s="649"/>
      <c r="B46708" s="649"/>
      <c r="E46708" s="649"/>
    </row>
    <row r="46709" spans="1:5" ht="16.5">
      <c r="A46709" s="649"/>
      <c r="B46709" s="649"/>
      <c r="E46709" s="649"/>
    </row>
    <row r="46710" spans="1:5" ht="16.5">
      <c r="A46710" s="649"/>
      <c r="B46710" s="649"/>
      <c r="E46710" s="649"/>
    </row>
    <row r="46711" spans="1:5" ht="16.5">
      <c r="A46711" s="649"/>
      <c r="B46711" s="649"/>
      <c r="E46711" s="649"/>
    </row>
    <row r="46712" spans="1:5" ht="16.5">
      <c r="A46712" s="649"/>
      <c r="B46712" s="649"/>
      <c r="E46712" s="649"/>
    </row>
    <row r="46713" spans="1:5" ht="16.5">
      <c r="A46713" s="649"/>
      <c r="B46713" s="649"/>
      <c r="E46713" s="649"/>
    </row>
    <row r="46714" spans="1:5" ht="16.5">
      <c r="A46714" s="649"/>
      <c r="B46714" s="649"/>
      <c r="E46714" s="649"/>
    </row>
    <row r="46715" spans="1:5" ht="16.5">
      <c r="A46715" s="649"/>
      <c r="B46715" s="649"/>
      <c r="E46715" s="649"/>
    </row>
    <row r="46716" spans="1:5" ht="16.5">
      <c r="A46716" s="649"/>
      <c r="B46716" s="649"/>
      <c r="E46716" s="649"/>
    </row>
    <row r="46717" spans="1:5" ht="16.5">
      <c r="A46717" s="649"/>
      <c r="B46717" s="649"/>
      <c r="E46717" s="649"/>
    </row>
    <row r="46718" spans="1:5" ht="16.5">
      <c r="A46718" s="649"/>
      <c r="B46718" s="649"/>
      <c r="E46718" s="649"/>
    </row>
    <row r="46719" spans="1:5" ht="16.5">
      <c r="A46719" s="649"/>
      <c r="B46719" s="649"/>
      <c r="E46719" s="649"/>
    </row>
    <row r="46720" spans="1:5" ht="16.5">
      <c r="A46720" s="649"/>
      <c r="B46720" s="649"/>
      <c r="E46720" s="649"/>
    </row>
    <row r="46721" spans="1:5" ht="16.5">
      <c r="A46721" s="649"/>
      <c r="B46721" s="649"/>
      <c r="E46721" s="649"/>
    </row>
    <row r="46722" spans="1:5" ht="16.5">
      <c r="A46722" s="649"/>
      <c r="B46722" s="649"/>
      <c r="E46722" s="649"/>
    </row>
    <row r="46723" spans="1:5" ht="16.5">
      <c r="A46723" s="649"/>
      <c r="B46723" s="649"/>
      <c r="E46723" s="649"/>
    </row>
    <row r="46724" spans="1:5" ht="16.5">
      <c r="A46724" s="649"/>
      <c r="B46724" s="649"/>
      <c r="E46724" s="649"/>
    </row>
    <row r="46725" spans="1:5" ht="16.5">
      <c r="A46725" s="649"/>
      <c r="B46725" s="649"/>
      <c r="E46725" s="649"/>
    </row>
    <row r="46726" spans="1:5" ht="16.5">
      <c r="A46726" s="649"/>
      <c r="B46726" s="649"/>
      <c r="E46726" s="649"/>
    </row>
    <row r="46727" spans="1:5" ht="16.5">
      <c r="A46727" s="649"/>
      <c r="B46727" s="649"/>
      <c r="E46727" s="649"/>
    </row>
    <row r="46728" spans="1:5" ht="16.5">
      <c r="A46728" s="649"/>
      <c r="B46728" s="649"/>
      <c r="E46728" s="649"/>
    </row>
    <row r="46729" spans="1:5" ht="16.5">
      <c r="A46729" s="649"/>
      <c r="B46729" s="649"/>
      <c r="E46729" s="649"/>
    </row>
    <row r="46730" spans="1:5" ht="16.5">
      <c r="A46730" s="649"/>
      <c r="B46730" s="649"/>
      <c r="E46730" s="649"/>
    </row>
    <row r="46731" spans="1:5" ht="16.5">
      <c r="A46731" s="649"/>
      <c r="B46731" s="649"/>
      <c r="E46731" s="649"/>
    </row>
    <row r="46732" spans="1:5" ht="16.5">
      <c r="A46732" s="649"/>
      <c r="B46732" s="649"/>
      <c r="E46732" s="649"/>
    </row>
    <row r="46733" spans="1:5" ht="16.5">
      <c r="A46733" s="649"/>
      <c r="B46733" s="649"/>
      <c r="E46733" s="649"/>
    </row>
    <row r="46734" spans="1:5" ht="16.5">
      <c r="A46734" s="649"/>
      <c r="B46734" s="649"/>
      <c r="E46734" s="649"/>
    </row>
    <row r="46735" spans="1:5" ht="16.5">
      <c r="A46735" s="649"/>
      <c r="B46735" s="649"/>
      <c r="E46735" s="649"/>
    </row>
    <row r="46736" spans="1:5" ht="16.5">
      <c r="A46736" s="649"/>
      <c r="B46736" s="649"/>
      <c r="E46736" s="649"/>
    </row>
    <row r="46737" spans="1:5" ht="16.5">
      <c r="A46737" s="649"/>
      <c r="B46737" s="649"/>
      <c r="E46737" s="649"/>
    </row>
    <row r="46738" spans="1:5" ht="16.5">
      <c r="A46738" s="649"/>
      <c r="B46738" s="649"/>
      <c r="E46738" s="649"/>
    </row>
    <row r="46739" spans="1:5" ht="16.5">
      <c r="A46739" s="649"/>
      <c r="B46739" s="649"/>
      <c r="E46739" s="649"/>
    </row>
    <row r="46740" spans="1:5" ht="16.5">
      <c r="A46740" s="649"/>
      <c r="B46740" s="649"/>
      <c r="E46740" s="649"/>
    </row>
    <row r="46741" spans="1:5" ht="16.5">
      <c r="A46741" s="649"/>
      <c r="B46741" s="649"/>
      <c r="E46741" s="649"/>
    </row>
    <row r="46742" spans="1:5" ht="16.5">
      <c r="A46742" s="649"/>
      <c r="B46742" s="649"/>
      <c r="E46742" s="649"/>
    </row>
    <row r="46743" spans="1:5" ht="16.5">
      <c r="A46743" s="649"/>
      <c r="B46743" s="649"/>
      <c r="E46743" s="649"/>
    </row>
    <row r="46744" spans="1:5" ht="16.5">
      <c r="A46744" s="649"/>
      <c r="B46744" s="649"/>
      <c r="E46744" s="649"/>
    </row>
    <row r="46745" spans="1:5" ht="16.5">
      <c r="A46745" s="649"/>
      <c r="B46745" s="649"/>
      <c r="E46745" s="649"/>
    </row>
    <row r="46746" spans="1:5" ht="16.5">
      <c r="A46746" s="649"/>
      <c r="B46746" s="649"/>
      <c r="E46746" s="649"/>
    </row>
    <row r="46747" spans="1:5" ht="16.5">
      <c r="A46747" s="649"/>
      <c r="B46747" s="649"/>
      <c r="E46747" s="649"/>
    </row>
    <row r="46748" spans="1:5" ht="16.5">
      <c r="A46748" s="649"/>
      <c r="B46748" s="649"/>
      <c r="E46748" s="649"/>
    </row>
    <row r="46749" spans="1:5" ht="16.5">
      <c r="A46749" s="649"/>
      <c r="B46749" s="649"/>
      <c r="E46749" s="649"/>
    </row>
    <row r="46750" spans="1:5" ht="16.5">
      <c r="A46750" s="649"/>
      <c r="B46750" s="649"/>
      <c r="E46750" s="649"/>
    </row>
    <row r="46751" spans="1:5" ht="16.5">
      <c r="A46751" s="649"/>
      <c r="B46751" s="649"/>
      <c r="E46751" s="649"/>
    </row>
    <row r="46752" spans="1:5" ht="16.5">
      <c r="A46752" s="649"/>
      <c r="B46752" s="649"/>
      <c r="E46752" s="649"/>
    </row>
    <row r="46753" spans="1:5" ht="16.5">
      <c r="A46753" s="649"/>
      <c r="B46753" s="649"/>
      <c r="E46753" s="649"/>
    </row>
    <row r="46754" spans="1:5" ht="16.5">
      <c r="A46754" s="649"/>
      <c r="B46754" s="649"/>
      <c r="E46754" s="649"/>
    </row>
    <row r="46755" spans="1:5" ht="16.5">
      <c r="A46755" s="649"/>
      <c r="B46755" s="649"/>
      <c r="E46755" s="649"/>
    </row>
    <row r="46756" spans="1:5" ht="16.5">
      <c r="A46756" s="649"/>
      <c r="B46756" s="649"/>
      <c r="E46756" s="649"/>
    </row>
    <row r="46757" spans="1:5" ht="16.5">
      <c r="A46757" s="649"/>
      <c r="B46757" s="649"/>
      <c r="E46757" s="649"/>
    </row>
    <row r="46758" spans="1:5" ht="16.5">
      <c r="A46758" s="649"/>
      <c r="B46758" s="649"/>
      <c r="E46758" s="649"/>
    </row>
    <row r="46759" spans="1:5" ht="16.5">
      <c r="A46759" s="649"/>
      <c r="B46759" s="649"/>
      <c r="E46759" s="649"/>
    </row>
    <row r="46760" spans="1:5" ht="16.5">
      <c r="A46760" s="649"/>
      <c r="B46760" s="649"/>
      <c r="E46760" s="649"/>
    </row>
    <row r="46761" spans="1:5" ht="16.5">
      <c r="A46761" s="649"/>
      <c r="B46761" s="649"/>
      <c r="E46761" s="649"/>
    </row>
    <row r="46762" spans="1:5" ht="16.5">
      <c r="A46762" s="649"/>
      <c r="B46762" s="649"/>
      <c r="E46762" s="649"/>
    </row>
    <row r="46763" spans="1:5" ht="16.5">
      <c r="A46763" s="649"/>
      <c r="B46763" s="649"/>
      <c r="E46763" s="649"/>
    </row>
    <row r="46764" spans="1:5" ht="16.5">
      <c r="A46764" s="649"/>
      <c r="B46764" s="649"/>
      <c r="E46764" s="649"/>
    </row>
    <row r="46765" spans="1:5" ht="16.5">
      <c r="A46765" s="649"/>
      <c r="B46765" s="649"/>
      <c r="E46765" s="649"/>
    </row>
    <row r="46766" spans="1:5" ht="16.5">
      <c r="A46766" s="649"/>
      <c r="B46766" s="649"/>
      <c r="E46766" s="649"/>
    </row>
    <row r="46767" spans="1:5" ht="16.5">
      <c r="A46767" s="649"/>
      <c r="B46767" s="649"/>
      <c r="E46767" s="649"/>
    </row>
    <row r="46768" spans="1:5" ht="16.5">
      <c r="A46768" s="649"/>
      <c r="B46768" s="649"/>
      <c r="E46768" s="649"/>
    </row>
    <row r="46769" spans="1:5" ht="16.5">
      <c r="A46769" s="649"/>
      <c r="B46769" s="649"/>
      <c r="E46769" s="649"/>
    </row>
    <row r="46770" spans="1:5" ht="16.5">
      <c r="A46770" s="649"/>
      <c r="B46770" s="649"/>
      <c r="E46770" s="649"/>
    </row>
    <row r="46771" spans="1:5" ht="16.5">
      <c r="A46771" s="649"/>
      <c r="B46771" s="649"/>
      <c r="E46771" s="649"/>
    </row>
    <row r="46772" spans="1:5" ht="16.5">
      <c r="A46772" s="649"/>
      <c r="B46772" s="649"/>
      <c r="E46772" s="649"/>
    </row>
    <row r="46773" spans="1:5" ht="16.5">
      <c r="A46773" s="649"/>
      <c r="B46773" s="649"/>
      <c r="E46773" s="649"/>
    </row>
    <row r="46774" spans="1:5" ht="16.5">
      <c r="A46774" s="649"/>
      <c r="B46774" s="649"/>
      <c r="E46774" s="649"/>
    </row>
    <row r="46775" spans="1:5" ht="16.5">
      <c r="A46775" s="649"/>
      <c r="B46775" s="649"/>
      <c r="E46775" s="649"/>
    </row>
    <row r="46776" spans="1:5" ht="16.5">
      <c r="A46776" s="649"/>
      <c r="B46776" s="649"/>
      <c r="E46776" s="649"/>
    </row>
    <row r="46777" spans="1:5" ht="16.5">
      <c r="A46777" s="649"/>
      <c r="B46777" s="649"/>
      <c r="E46777" s="649"/>
    </row>
    <row r="46778" spans="1:5" ht="16.5">
      <c r="A46778" s="649"/>
      <c r="B46778" s="649"/>
      <c r="E46778" s="649"/>
    </row>
    <row r="46779" spans="1:5" ht="16.5">
      <c r="A46779" s="649"/>
      <c r="B46779" s="649"/>
      <c r="E46779" s="649"/>
    </row>
    <row r="46780" spans="1:5" ht="16.5">
      <c r="A46780" s="649"/>
      <c r="B46780" s="649"/>
      <c r="E46780" s="649"/>
    </row>
    <row r="46781" spans="1:5" ht="16.5">
      <c r="A46781" s="649"/>
      <c r="B46781" s="649"/>
      <c r="E46781" s="649"/>
    </row>
    <row r="46782" spans="1:5" ht="16.5">
      <c r="A46782" s="649"/>
      <c r="B46782" s="649"/>
      <c r="E46782" s="649"/>
    </row>
    <row r="46783" spans="1:5" ht="16.5">
      <c r="A46783" s="649"/>
      <c r="B46783" s="649"/>
      <c r="E46783" s="649"/>
    </row>
    <row r="46784" spans="1:5" ht="16.5">
      <c r="A46784" s="649"/>
      <c r="B46784" s="649"/>
      <c r="E46784" s="649"/>
    </row>
    <row r="46785" spans="1:5" ht="16.5">
      <c r="A46785" s="649"/>
      <c r="B46785" s="649"/>
      <c r="E46785" s="649"/>
    </row>
    <row r="46786" spans="1:5" ht="16.5">
      <c r="A46786" s="649"/>
      <c r="B46786" s="649"/>
      <c r="E46786" s="649"/>
    </row>
    <row r="46787" spans="1:5" ht="16.5">
      <c r="A46787" s="649"/>
      <c r="B46787" s="649"/>
      <c r="E46787" s="649"/>
    </row>
    <row r="46788" spans="1:5" ht="16.5">
      <c r="A46788" s="649"/>
      <c r="B46788" s="649"/>
      <c r="E46788" s="649"/>
    </row>
    <row r="46789" spans="1:5" ht="16.5">
      <c r="A46789" s="649"/>
      <c r="B46789" s="649"/>
      <c r="E46789" s="649"/>
    </row>
    <row r="46790" spans="1:5" ht="16.5">
      <c r="A46790" s="649"/>
      <c r="B46790" s="649"/>
      <c r="E46790" s="649"/>
    </row>
    <row r="46791" spans="1:5" ht="16.5">
      <c r="A46791" s="649"/>
      <c r="B46791" s="649"/>
      <c r="E46791" s="649"/>
    </row>
    <row r="46792" spans="1:5" ht="16.5">
      <c r="A46792" s="649"/>
      <c r="B46792" s="649"/>
      <c r="E46792" s="649"/>
    </row>
    <row r="46793" spans="1:5" ht="16.5">
      <c r="A46793" s="649"/>
      <c r="B46793" s="649"/>
      <c r="E46793" s="649"/>
    </row>
    <row r="46794" spans="1:5" ht="16.5">
      <c r="A46794" s="649"/>
      <c r="B46794" s="649"/>
      <c r="E46794" s="649"/>
    </row>
    <row r="46795" spans="1:5" ht="16.5">
      <c r="A46795" s="649"/>
      <c r="B46795" s="649"/>
      <c r="E46795" s="649"/>
    </row>
    <row r="46796" spans="1:5" ht="16.5">
      <c r="A46796" s="649"/>
      <c r="B46796" s="649"/>
      <c r="E46796" s="649"/>
    </row>
    <row r="46797" spans="1:5" ht="16.5">
      <c r="A46797" s="649"/>
      <c r="B46797" s="649"/>
      <c r="E46797" s="649"/>
    </row>
    <row r="46798" spans="1:5" ht="16.5">
      <c r="A46798" s="649"/>
      <c r="B46798" s="649"/>
      <c r="E46798" s="649"/>
    </row>
    <row r="46799" spans="1:5" ht="16.5">
      <c r="A46799" s="649"/>
      <c r="B46799" s="649"/>
      <c r="E46799" s="649"/>
    </row>
    <row r="46800" spans="1:5" ht="16.5">
      <c r="A46800" s="649"/>
      <c r="B46800" s="649"/>
      <c r="E46800" s="649"/>
    </row>
    <row r="46801" spans="1:5" ht="16.5">
      <c r="A46801" s="649"/>
      <c r="B46801" s="649"/>
      <c r="E46801" s="649"/>
    </row>
    <row r="46802" spans="1:5" ht="16.5">
      <c r="A46802" s="649"/>
      <c r="B46802" s="649"/>
      <c r="E46802" s="649"/>
    </row>
    <row r="46803" spans="1:5" ht="16.5">
      <c r="A46803" s="649"/>
      <c r="B46803" s="649"/>
      <c r="E46803" s="649"/>
    </row>
    <row r="46804" spans="1:5" ht="16.5">
      <c r="A46804" s="649"/>
      <c r="B46804" s="649"/>
      <c r="E46804" s="649"/>
    </row>
    <row r="46805" spans="1:5" ht="16.5">
      <c r="A46805" s="649"/>
      <c r="B46805" s="649"/>
      <c r="E46805" s="649"/>
    </row>
    <row r="46806" spans="1:5" ht="16.5">
      <c r="A46806" s="649"/>
      <c r="B46806" s="649"/>
      <c r="E46806" s="649"/>
    </row>
    <row r="46807" spans="1:5" ht="16.5">
      <c r="A46807" s="649"/>
      <c r="B46807" s="649"/>
      <c r="E46807" s="649"/>
    </row>
    <row r="46808" spans="1:5" ht="16.5">
      <c r="A46808" s="649"/>
      <c r="B46808" s="649"/>
      <c r="E46808" s="649"/>
    </row>
    <row r="46809" spans="1:5" ht="16.5">
      <c r="A46809" s="649"/>
      <c r="B46809" s="649"/>
      <c r="E46809" s="649"/>
    </row>
    <row r="46810" spans="1:5" ht="16.5">
      <c r="A46810" s="649"/>
      <c r="B46810" s="649"/>
      <c r="E46810" s="649"/>
    </row>
    <row r="46811" spans="1:5" ht="16.5">
      <c r="A46811" s="649"/>
      <c r="B46811" s="649"/>
      <c r="E46811" s="649"/>
    </row>
    <row r="46812" spans="1:5" ht="16.5">
      <c r="A46812" s="649"/>
      <c r="B46812" s="649"/>
      <c r="E46812" s="649"/>
    </row>
    <row r="46813" spans="1:5" ht="16.5">
      <c r="A46813" s="649"/>
      <c r="B46813" s="649"/>
      <c r="E46813" s="649"/>
    </row>
    <row r="46814" spans="1:5" ht="16.5">
      <c r="A46814" s="649"/>
      <c r="B46814" s="649"/>
      <c r="E46814" s="649"/>
    </row>
    <row r="46815" spans="1:5" ht="16.5">
      <c r="A46815" s="649"/>
      <c r="B46815" s="649"/>
      <c r="E46815" s="649"/>
    </row>
    <row r="46816" spans="1:5" ht="16.5">
      <c r="A46816" s="649"/>
      <c r="B46816" s="649"/>
      <c r="E46816" s="649"/>
    </row>
    <row r="46817" spans="1:5" ht="16.5">
      <c r="A46817" s="649"/>
      <c r="B46817" s="649"/>
      <c r="E46817" s="649"/>
    </row>
    <row r="46818" spans="1:5" ht="16.5">
      <c r="A46818" s="649"/>
      <c r="B46818" s="649"/>
      <c r="E46818" s="649"/>
    </row>
    <row r="46819" spans="1:5" ht="16.5">
      <c r="A46819" s="649"/>
      <c r="B46819" s="649"/>
      <c r="E46819" s="649"/>
    </row>
    <row r="46820" spans="1:5" ht="16.5">
      <c r="A46820" s="649"/>
      <c r="B46820" s="649"/>
      <c r="E46820" s="649"/>
    </row>
    <row r="46821" spans="1:5" ht="16.5">
      <c r="A46821" s="649"/>
      <c r="B46821" s="649"/>
      <c r="E46821" s="649"/>
    </row>
    <row r="46822" spans="1:5" ht="16.5">
      <c r="A46822" s="649"/>
      <c r="B46822" s="649"/>
      <c r="E46822" s="649"/>
    </row>
    <row r="46823" spans="1:5" ht="16.5">
      <c r="A46823" s="649"/>
      <c r="B46823" s="649"/>
      <c r="E46823" s="649"/>
    </row>
    <row r="46824" spans="1:5" ht="16.5">
      <c r="A46824" s="649"/>
      <c r="B46824" s="649"/>
      <c r="E46824" s="649"/>
    </row>
    <row r="46825" spans="1:5" ht="16.5">
      <c r="A46825" s="649"/>
      <c r="B46825" s="649"/>
      <c r="E46825" s="649"/>
    </row>
    <row r="46826" spans="1:5" ht="16.5">
      <c r="A46826" s="649"/>
      <c r="B46826" s="649"/>
      <c r="E46826" s="649"/>
    </row>
    <row r="46827" spans="1:5" ht="16.5">
      <c r="A46827" s="649"/>
      <c r="B46827" s="649"/>
      <c r="E46827" s="649"/>
    </row>
    <row r="46828" spans="1:5" ht="16.5">
      <c r="A46828" s="649"/>
      <c r="B46828" s="649"/>
      <c r="E46828" s="649"/>
    </row>
    <row r="46829" spans="1:5" ht="16.5">
      <c r="A46829" s="649"/>
      <c r="B46829" s="649"/>
      <c r="E46829" s="649"/>
    </row>
    <row r="46830" spans="1:5" ht="16.5">
      <c r="A46830" s="649"/>
      <c r="B46830" s="649"/>
      <c r="E46830" s="649"/>
    </row>
    <row r="46831" spans="1:5" ht="16.5">
      <c r="A46831" s="649"/>
      <c r="B46831" s="649"/>
      <c r="E46831" s="649"/>
    </row>
    <row r="46832" spans="1:5" ht="16.5">
      <c r="A46832" s="649"/>
      <c r="B46832" s="649"/>
      <c r="E46832" s="649"/>
    </row>
    <row r="46833" spans="1:5" ht="16.5">
      <c r="A46833" s="649"/>
      <c r="B46833" s="649"/>
      <c r="E46833" s="649"/>
    </row>
    <row r="46834" spans="1:5" ht="16.5">
      <c r="A46834" s="649"/>
      <c r="B46834" s="649"/>
      <c r="E46834" s="649"/>
    </row>
    <row r="46835" spans="1:5" ht="16.5">
      <c r="A46835" s="649"/>
      <c r="B46835" s="649"/>
      <c r="E46835" s="649"/>
    </row>
    <row r="46836" spans="1:5" ht="16.5">
      <c r="A46836" s="649"/>
      <c r="B46836" s="649"/>
      <c r="E46836" s="649"/>
    </row>
    <row r="46837" spans="1:5" ht="16.5">
      <c r="A46837" s="649"/>
      <c r="B46837" s="649"/>
      <c r="E46837" s="649"/>
    </row>
    <row r="46838" spans="1:5" ht="16.5">
      <c r="A46838" s="649"/>
      <c r="B46838" s="649"/>
      <c r="E46838" s="649"/>
    </row>
    <row r="46839" spans="1:5" ht="16.5">
      <c r="A46839" s="649"/>
      <c r="B46839" s="649"/>
      <c r="E46839" s="649"/>
    </row>
    <row r="46840" spans="1:5" ht="16.5">
      <c r="A46840" s="649"/>
      <c r="B46840" s="649"/>
      <c r="E46840" s="649"/>
    </row>
    <row r="46841" spans="1:5" ht="16.5">
      <c r="A46841" s="649"/>
      <c r="B46841" s="649"/>
      <c r="E46841" s="649"/>
    </row>
    <row r="46842" spans="1:5" ht="16.5">
      <c r="A46842" s="649"/>
      <c r="B46842" s="649"/>
      <c r="E46842" s="649"/>
    </row>
    <row r="46843" spans="1:5" ht="16.5">
      <c r="A46843" s="649"/>
      <c r="B46843" s="649"/>
      <c r="E46843" s="649"/>
    </row>
    <row r="46844" spans="1:5" ht="16.5">
      <c r="A46844" s="649"/>
      <c r="B46844" s="649"/>
      <c r="E46844" s="649"/>
    </row>
    <row r="46845" spans="1:5" ht="16.5">
      <c r="A46845" s="649"/>
      <c r="B46845" s="649"/>
      <c r="E46845" s="649"/>
    </row>
    <row r="46846" spans="1:5" ht="16.5">
      <c r="A46846" s="649"/>
      <c r="B46846" s="649"/>
      <c r="E46846" s="649"/>
    </row>
    <row r="46847" spans="1:5" ht="16.5">
      <c r="A46847" s="649"/>
      <c r="B46847" s="649"/>
      <c r="E46847" s="649"/>
    </row>
    <row r="46848" spans="1:5" ht="16.5">
      <c r="A46848" s="649"/>
      <c r="B46848" s="649"/>
      <c r="E46848" s="649"/>
    </row>
    <row r="46849" spans="1:5" ht="16.5">
      <c r="A46849" s="649"/>
      <c r="B46849" s="649"/>
      <c r="E46849" s="649"/>
    </row>
    <row r="46850" spans="1:5" ht="16.5">
      <c r="A46850" s="649"/>
      <c r="B46850" s="649"/>
      <c r="E46850" s="649"/>
    </row>
    <row r="46851" spans="1:5" ht="16.5">
      <c r="A46851" s="649"/>
      <c r="B46851" s="649"/>
      <c r="E46851" s="649"/>
    </row>
    <row r="46852" spans="1:5" ht="16.5">
      <c r="A46852" s="649"/>
      <c r="B46852" s="649"/>
      <c r="E46852" s="649"/>
    </row>
    <row r="46853" spans="1:5" ht="16.5">
      <c r="A46853" s="649"/>
      <c r="B46853" s="649"/>
      <c r="E46853" s="649"/>
    </row>
    <row r="46854" spans="1:5" ht="16.5">
      <c r="A46854" s="649"/>
      <c r="B46854" s="649"/>
      <c r="E46854" s="649"/>
    </row>
    <row r="46855" spans="1:5" ht="16.5">
      <c r="A46855" s="649"/>
      <c r="B46855" s="649"/>
      <c r="E46855" s="649"/>
    </row>
    <row r="46856" spans="1:5" ht="16.5">
      <c r="A46856" s="649"/>
      <c r="B46856" s="649"/>
      <c r="E46856" s="649"/>
    </row>
    <row r="46857" spans="1:5" ht="16.5">
      <c r="A46857" s="649"/>
      <c r="B46857" s="649"/>
      <c r="E46857" s="649"/>
    </row>
    <row r="46858" spans="1:5" ht="16.5">
      <c r="A46858" s="649"/>
      <c r="B46858" s="649"/>
      <c r="E46858" s="649"/>
    </row>
    <row r="46859" spans="1:5" ht="16.5">
      <c r="A46859" s="649"/>
      <c r="B46859" s="649"/>
      <c r="E46859" s="649"/>
    </row>
    <row r="46860" spans="1:5" ht="16.5">
      <c r="A46860" s="649"/>
      <c r="B46860" s="649"/>
      <c r="E46860" s="649"/>
    </row>
    <row r="46861" spans="1:5" ht="16.5">
      <c r="A46861" s="649"/>
      <c r="B46861" s="649"/>
      <c r="E46861" s="649"/>
    </row>
    <row r="46862" spans="1:5" ht="16.5">
      <c r="A46862" s="649"/>
      <c r="B46862" s="649"/>
      <c r="E46862" s="649"/>
    </row>
    <row r="46863" spans="1:5" ht="16.5">
      <c r="A46863" s="649"/>
      <c r="B46863" s="649"/>
      <c r="E46863" s="649"/>
    </row>
    <row r="46864" spans="1:5" ht="16.5">
      <c r="A46864" s="649"/>
      <c r="B46864" s="649"/>
      <c r="E46864" s="649"/>
    </row>
    <row r="46865" spans="1:5" ht="16.5">
      <c r="A46865" s="649"/>
      <c r="B46865" s="649"/>
      <c r="E46865" s="649"/>
    </row>
    <row r="46866" spans="1:5" ht="16.5">
      <c r="A46866" s="649"/>
      <c r="B46866" s="649"/>
      <c r="E46866" s="649"/>
    </row>
    <row r="46867" spans="1:5" ht="16.5">
      <c r="A46867" s="649"/>
      <c r="B46867" s="649"/>
      <c r="E46867" s="649"/>
    </row>
    <row r="46868" spans="1:5" ht="16.5">
      <c r="A46868" s="649"/>
      <c r="B46868" s="649"/>
      <c r="E46868" s="649"/>
    </row>
    <row r="46869" spans="1:5" ht="16.5">
      <c r="A46869" s="649"/>
      <c r="B46869" s="649"/>
      <c r="E46869" s="649"/>
    </row>
    <row r="46870" spans="1:5" ht="16.5">
      <c r="A46870" s="649"/>
      <c r="B46870" s="649"/>
      <c r="E46870" s="649"/>
    </row>
    <row r="46871" spans="1:5" ht="16.5">
      <c r="A46871" s="649"/>
      <c r="B46871" s="649"/>
      <c r="E46871" s="649"/>
    </row>
    <row r="46872" spans="1:5" ht="16.5">
      <c r="A46872" s="649"/>
      <c r="B46872" s="649"/>
      <c r="E46872" s="649"/>
    </row>
    <row r="46873" spans="1:5" ht="16.5">
      <c r="A46873" s="649"/>
      <c r="B46873" s="649"/>
      <c r="E46873" s="649"/>
    </row>
    <row r="46874" spans="1:5" ht="16.5">
      <c r="A46874" s="649"/>
      <c r="B46874" s="649"/>
      <c r="E46874" s="649"/>
    </row>
    <row r="46875" spans="1:5" ht="16.5">
      <c r="A46875" s="649"/>
      <c r="B46875" s="649"/>
      <c r="E46875" s="649"/>
    </row>
    <row r="46876" spans="1:5" ht="16.5">
      <c r="A46876" s="649"/>
      <c r="B46876" s="649"/>
      <c r="E46876" s="649"/>
    </row>
    <row r="46877" spans="1:5" ht="16.5">
      <c r="A46877" s="649"/>
      <c r="B46877" s="649"/>
      <c r="E46877" s="649"/>
    </row>
    <row r="46878" spans="1:5" ht="16.5">
      <c r="A46878" s="649"/>
      <c r="B46878" s="649"/>
      <c r="E46878" s="649"/>
    </row>
    <row r="46879" spans="1:5" ht="16.5">
      <c r="A46879" s="649"/>
      <c r="B46879" s="649"/>
      <c r="E46879" s="649"/>
    </row>
    <row r="46880" spans="1:5" ht="16.5">
      <c r="A46880" s="649"/>
      <c r="B46880" s="649"/>
      <c r="E46880" s="649"/>
    </row>
    <row r="46881" spans="1:5" ht="16.5">
      <c r="A46881" s="649"/>
      <c r="B46881" s="649"/>
      <c r="E46881" s="649"/>
    </row>
    <row r="46882" spans="1:5" ht="16.5">
      <c r="A46882" s="649"/>
      <c r="B46882" s="649"/>
      <c r="E46882" s="649"/>
    </row>
    <row r="46883" spans="1:5" ht="16.5">
      <c r="A46883" s="649"/>
      <c r="B46883" s="649"/>
      <c r="E46883" s="649"/>
    </row>
    <row r="46884" spans="1:5" ht="16.5">
      <c r="A46884" s="649"/>
      <c r="B46884" s="649"/>
      <c r="E46884" s="649"/>
    </row>
    <row r="46885" spans="1:5" ht="16.5">
      <c r="A46885" s="649"/>
      <c r="B46885" s="649"/>
      <c r="E46885" s="649"/>
    </row>
    <row r="46886" spans="1:5" ht="16.5">
      <c r="A46886" s="649"/>
      <c r="B46886" s="649"/>
      <c r="E46886" s="649"/>
    </row>
    <row r="46887" spans="1:5" ht="16.5">
      <c r="A46887" s="649"/>
      <c r="B46887" s="649"/>
      <c r="E46887" s="649"/>
    </row>
    <row r="46888" spans="1:5" ht="16.5">
      <c r="A46888" s="649"/>
      <c r="B46888" s="649"/>
      <c r="E46888" s="649"/>
    </row>
    <row r="46889" spans="1:5" ht="16.5">
      <c r="A46889" s="649"/>
      <c r="B46889" s="649"/>
      <c r="E46889" s="649"/>
    </row>
    <row r="46890" spans="1:5" ht="16.5">
      <c r="A46890" s="649"/>
      <c r="B46890" s="649"/>
      <c r="E46890" s="649"/>
    </row>
    <row r="46891" spans="1:5" ht="16.5">
      <c r="A46891" s="649"/>
      <c r="B46891" s="649"/>
      <c r="E46891" s="649"/>
    </row>
    <row r="46892" spans="1:5" ht="16.5">
      <c r="A46892" s="649"/>
      <c r="B46892" s="649"/>
      <c r="E46892" s="649"/>
    </row>
    <row r="46893" spans="1:5" ht="16.5">
      <c r="A46893" s="649"/>
      <c r="B46893" s="649"/>
      <c r="E46893" s="649"/>
    </row>
    <row r="46894" spans="1:5" ht="16.5">
      <c r="A46894" s="649"/>
      <c r="B46894" s="649"/>
      <c r="E46894" s="649"/>
    </row>
    <row r="46895" spans="1:5" ht="16.5">
      <c r="A46895" s="649"/>
      <c r="B46895" s="649"/>
      <c r="E46895" s="649"/>
    </row>
    <row r="46896" spans="1:5" ht="16.5">
      <c r="A46896" s="649"/>
      <c r="B46896" s="649"/>
      <c r="E46896" s="649"/>
    </row>
    <row r="46897" spans="1:5" ht="16.5">
      <c r="A46897" s="649"/>
      <c r="B46897" s="649"/>
      <c r="E46897" s="649"/>
    </row>
    <row r="46898" spans="1:5" ht="16.5">
      <c r="A46898" s="649"/>
      <c r="B46898" s="649"/>
      <c r="E46898" s="649"/>
    </row>
    <row r="46899" spans="1:5" ht="16.5">
      <c r="A46899" s="649"/>
      <c r="B46899" s="649"/>
      <c r="E46899" s="649"/>
    </row>
    <row r="46900" spans="1:5" ht="16.5">
      <c r="A46900" s="649"/>
      <c r="B46900" s="649"/>
      <c r="E46900" s="649"/>
    </row>
    <row r="46901" spans="1:5" ht="16.5">
      <c r="A46901" s="649"/>
      <c r="B46901" s="649"/>
      <c r="E46901" s="649"/>
    </row>
    <row r="46902" spans="1:5" ht="16.5">
      <c r="A46902" s="649"/>
      <c r="B46902" s="649"/>
      <c r="E46902" s="649"/>
    </row>
    <row r="46903" spans="1:5" ht="16.5">
      <c r="A46903" s="649"/>
      <c r="B46903" s="649"/>
      <c r="E46903" s="649"/>
    </row>
    <row r="46904" spans="1:5" ht="16.5">
      <c r="A46904" s="649"/>
      <c r="B46904" s="649"/>
      <c r="E46904" s="649"/>
    </row>
    <row r="46905" spans="1:5" ht="16.5">
      <c r="A46905" s="649"/>
      <c r="B46905" s="649"/>
      <c r="E46905" s="649"/>
    </row>
    <row r="46906" spans="1:5" ht="16.5">
      <c r="A46906" s="649"/>
      <c r="B46906" s="649"/>
      <c r="E46906" s="649"/>
    </row>
    <row r="46907" spans="1:5" ht="16.5">
      <c r="A46907" s="649"/>
      <c r="B46907" s="649"/>
      <c r="E46907" s="649"/>
    </row>
    <row r="46908" spans="1:5" ht="16.5">
      <c r="A46908" s="649"/>
      <c r="B46908" s="649"/>
      <c r="E46908" s="649"/>
    </row>
    <row r="46909" spans="1:5" ht="16.5">
      <c r="A46909" s="649"/>
      <c r="B46909" s="649"/>
      <c r="E46909" s="649"/>
    </row>
    <row r="46910" spans="1:5" ht="16.5">
      <c r="A46910" s="649"/>
      <c r="B46910" s="649"/>
      <c r="E46910" s="649"/>
    </row>
    <row r="46911" spans="1:5" ht="16.5">
      <c r="A46911" s="649"/>
      <c r="B46911" s="649"/>
      <c r="E46911" s="649"/>
    </row>
    <row r="46912" spans="1:5" ht="16.5">
      <c r="A46912" s="649"/>
      <c r="B46912" s="649"/>
      <c r="E46912" s="649"/>
    </row>
    <row r="46913" spans="1:5" ht="16.5">
      <c r="A46913" s="649"/>
      <c r="B46913" s="649"/>
      <c r="E46913" s="649"/>
    </row>
    <row r="46914" spans="1:5" ht="16.5">
      <c r="A46914" s="649"/>
      <c r="B46914" s="649"/>
      <c r="E46914" s="649"/>
    </row>
    <row r="46915" spans="1:5" ht="16.5">
      <c r="A46915" s="649"/>
      <c r="B46915" s="649"/>
      <c r="E46915" s="649"/>
    </row>
    <row r="46916" spans="1:5" ht="16.5">
      <c r="A46916" s="649"/>
      <c r="B46916" s="649"/>
      <c r="E46916" s="649"/>
    </row>
    <row r="46917" spans="1:5" ht="16.5">
      <c r="A46917" s="649"/>
      <c r="B46917" s="649"/>
      <c r="E46917" s="649"/>
    </row>
    <row r="46918" spans="1:5" ht="16.5">
      <c r="A46918" s="649"/>
      <c r="B46918" s="649"/>
      <c r="E46918" s="649"/>
    </row>
    <row r="46919" spans="1:5" ht="16.5">
      <c r="A46919" s="649"/>
      <c r="B46919" s="649"/>
      <c r="E46919" s="649"/>
    </row>
    <row r="46920" spans="1:5" ht="16.5">
      <c r="A46920" s="649"/>
      <c r="B46920" s="649"/>
      <c r="E46920" s="649"/>
    </row>
    <row r="46921" spans="1:5" ht="16.5">
      <c r="A46921" s="649"/>
      <c r="B46921" s="649"/>
      <c r="E46921" s="649"/>
    </row>
    <row r="46922" spans="1:5" ht="16.5">
      <c r="A46922" s="649"/>
      <c r="B46922" s="649"/>
      <c r="E46922" s="649"/>
    </row>
    <row r="46923" spans="1:5" ht="16.5">
      <c r="A46923" s="649"/>
      <c r="B46923" s="649"/>
      <c r="E46923" s="649"/>
    </row>
    <row r="46924" spans="1:5" ht="16.5">
      <c r="A46924" s="649"/>
      <c r="B46924" s="649"/>
      <c r="E46924" s="649"/>
    </row>
    <row r="46925" spans="1:5" ht="16.5">
      <c r="A46925" s="649"/>
      <c r="B46925" s="649"/>
      <c r="E46925" s="649"/>
    </row>
    <row r="46926" spans="1:5" ht="16.5">
      <c r="A46926" s="649"/>
      <c r="B46926" s="649"/>
      <c r="E46926" s="649"/>
    </row>
    <row r="46927" spans="1:5" ht="16.5">
      <c r="A46927" s="649"/>
      <c r="B46927" s="649"/>
      <c r="E46927" s="649"/>
    </row>
    <row r="46928" spans="1:5" ht="16.5">
      <c r="A46928" s="649"/>
      <c r="B46928" s="649"/>
      <c r="E46928" s="649"/>
    </row>
    <row r="46929" spans="1:5" ht="16.5">
      <c r="A46929" s="649"/>
      <c r="B46929" s="649"/>
      <c r="E46929" s="649"/>
    </row>
    <row r="46930" spans="1:5" ht="16.5">
      <c r="A46930" s="649"/>
      <c r="B46930" s="649"/>
      <c r="E46930" s="649"/>
    </row>
    <row r="46931" spans="1:5" ht="16.5">
      <c r="A46931" s="649"/>
      <c r="B46931" s="649"/>
      <c r="E46931" s="649"/>
    </row>
    <row r="46932" spans="1:5" ht="16.5">
      <c r="A46932" s="649"/>
      <c r="B46932" s="649"/>
      <c r="E46932" s="649"/>
    </row>
    <row r="46933" spans="1:5" ht="16.5">
      <c r="A46933" s="649"/>
      <c r="B46933" s="649"/>
      <c r="E46933" s="649"/>
    </row>
    <row r="46934" spans="1:5" ht="16.5">
      <c r="A46934" s="649"/>
      <c r="B46934" s="649"/>
      <c r="E46934" s="649"/>
    </row>
    <row r="46935" spans="1:5" ht="16.5">
      <c r="A46935" s="649"/>
      <c r="B46935" s="649"/>
      <c r="E46935" s="649"/>
    </row>
    <row r="46936" spans="1:5" ht="16.5">
      <c r="A46936" s="649"/>
      <c r="B46936" s="649"/>
      <c r="E46936" s="649"/>
    </row>
    <row r="46937" spans="1:5" ht="16.5">
      <c r="A46937" s="649"/>
      <c r="B46937" s="649"/>
      <c r="E46937" s="649"/>
    </row>
    <row r="46938" spans="1:5" ht="16.5">
      <c r="A46938" s="649"/>
      <c r="B46938" s="649"/>
      <c r="E46938" s="649"/>
    </row>
    <row r="46939" spans="1:5" ht="16.5">
      <c r="A46939" s="649"/>
      <c r="B46939" s="649"/>
      <c r="E46939" s="649"/>
    </row>
    <row r="46940" spans="1:5" ht="16.5">
      <c r="A46940" s="649"/>
      <c r="B46940" s="649"/>
      <c r="E46940" s="649"/>
    </row>
    <row r="46941" spans="1:5" ht="16.5">
      <c r="A46941" s="649"/>
      <c r="B46941" s="649"/>
      <c r="E46941" s="649"/>
    </row>
    <row r="46942" spans="1:5" ht="16.5">
      <c r="A46942" s="649"/>
      <c r="B46942" s="649"/>
      <c r="E46942" s="649"/>
    </row>
    <row r="46943" spans="1:5" ht="16.5">
      <c r="A46943" s="649"/>
      <c r="B46943" s="649"/>
      <c r="E46943" s="649"/>
    </row>
    <row r="46944" spans="1:5" ht="16.5">
      <c r="A46944" s="649"/>
      <c r="B46944" s="649"/>
      <c r="E46944" s="649"/>
    </row>
    <row r="46945" spans="1:5" ht="16.5">
      <c r="A46945" s="649"/>
      <c r="B46945" s="649"/>
      <c r="E46945" s="649"/>
    </row>
    <row r="46946" spans="1:5" ht="16.5">
      <c r="A46946" s="649"/>
      <c r="B46946" s="649"/>
      <c r="E46946" s="649"/>
    </row>
    <row r="46947" spans="1:5" ht="16.5">
      <c r="A46947" s="649"/>
      <c r="B46947" s="649"/>
      <c r="E46947" s="649"/>
    </row>
    <row r="46948" spans="1:5" ht="16.5">
      <c r="A46948" s="649"/>
      <c r="B46948" s="649"/>
      <c r="E46948" s="649"/>
    </row>
    <row r="46949" spans="1:5" ht="16.5">
      <c r="A46949" s="649"/>
      <c r="B46949" s="649"/>
      <c r="E46949" s="649"/>
    </row>
    <row r="46950" spans="1:5" ht="16.5">
      <c r="A46950" s="649"/>
      <c r="B46950" s="649"/>
      <c r="E46950" s="649"/>
    </row>
    <row r="46951" spans="1:5" ht="16.5">
      <c r="A46951" s="649"/>
      <c r="B46951" s="649"/>
      <c r="E46951" s="649"/>
    </row>
    <row r="46952" spans="1:5" ht="16.5">
      <c r="A46952" s="649"/>
      <c r="B46952" s="649"/>
      <c r="E46952" s="649"/>
    </row>
    <row r="46953" spans="1:5" ht="16.5">
      <c r="A46953" s="649"/>
      <c r="B46953" s="649"/>
      <c r="E46953" s="649"/>
    </row>
    <row r="46954" spans="1:5" ht="16.5">
      <c r="A46954" s="649"/>
      <c r="B46954" s="649"/>
      <c r="E46954" s="649"/>
    </row>
    <row r="46955" spans="1:5" ht="16.5">
      <c r="A46955" s="649"/>
      <c r="B46955" s="649"/>
      <c r="E46955" s="649"/>
    </row>
    <row r="46956" spans="1:5" ht="16.5">
      <c r="A46956" s="649"/>
      <c r="B46956" s="649"/>
      <c r="E46956" s="649"/>
    </row>
    <row r="46957" spans="1:5" ht="16.5">
      <c r="A46957" s="649"/>
      <c r="B46957" s="649"/>
      <c r="E46957" s="649"/>
    </row>
    <row r="46958" spans="1:5" ht="16.5">
      <c r="A46958" s="649"/>
      <c r="B46958" s="649"/>
      <c r="E46958" s="649"/>
    </row>
    <row r="46959" spans="1:5" ht="16.5">
      <c r="A46959" s="649"/>
      <c r="B46959" s="649"/>
      <c r="E46959" s="649"/>
    </row>
    <row r="46960" spans="1:5" ht="16.5">
      <c r="A46960" s="649"/>
      <c r="B46960" s="649"/>
      <c r="E46960" s="649"/>
    </row>
    <row r="46961" spans="1:5" ht="16.5">
      <c r="A46961" s="649"/>
      <c r="B46961" s="649"/>
      <c r="E46961" s="649"/>
    </row>
    <row r="46962" spans="1:5" ht="16.5">
      <c r="A46962" s="649"/>
      <c r="B46962" s="649"/>
      <c r="E46962" s="649"/>
    </row>
    <row r="46963" spans="1:5" ht="16.5">
      <c r="A46963" s="649"/>
      <c r="B46963" s="649"/>
      <c r="E46963" s="649"/>
    </row>
    <row r="46964" spans="1:5" ht="16.5">
      <c r="A46964" s="649"/>
      <c r="B46964" s="649"/>
      <c r="E46964" s="649"/>
    </row>
    <row r="46965" spans="1:5" ht="16.5">
      <c r="A46965" s="649"/>
      <c r="B46965" s="649"/>
      <c r="E46965" s="649"/>
    </row>
    <row r="46966" spans="1:5" ht="16.5">
      <c r="A46966" s="649"/>
      <c r="B46966" s="649"/>
      <c r="E46966" s="649"/>
    </row>
    <row r="46967" spans="1:5" ht="16.5">
      <c r="A46967" s="649"/>
      <c r="B46967" s="649"/>
      <c r="E46967" s="649"/>
    </row>
    <row r="46968" spans="1:5" ht="16.5">
      <c r="A46968" s="649"/>
      <c r="B46968" s="649"/>
      <c r="E46968" s="649"/>
    </row>
    <row r="46969" spans="1:5" ht="16.5">
      <c r="A46969" s="649"/>
      <c r="B46969" s="649"/>
      <c r="E46969" s="649"/>
    </row>
    <row r="46970" spans="1:5" ht="16.5">
      <c r="A46970" s="649"/>
      <c r="B46970" s="649"/>
      <c r="E46970" s="649"/>
    </row>
    <row r="46971" spans="1:5" ht="16.5">
      <c r="A46971" s="649"/>
      <c r="B46971" s="649"/>
      <c r="E46971" s="649"/>
    </row>
    <row r="46972" spans="1:5" ht="16.5">
      <c r="A46972" s="649"/>
      <c r="B46972" s="649"/>
      <c r="E46972" s="649"/>
    </row>
    <row r="46973" spans="1:5" ht="16.5">
      <c r="A46973" s="649"/>
      <c r="B46973" s="649"/>
      <c r="E46973" s="649"/>
    </row>
    <row r="46974" spans="1:5" ht="16.5">
      <c r="A46974" s="649"/>
      <c r="B46974" s="649"/>
      <c r="E46974" s="649"/>
    </row>
    <row r="46975" spans="1:5" ht="16.5">
      <c r="A46975" s="649"/>
      <c r="B46975" s="649"/>
      <c r="E46975" s="649"/>
    </row>
    <row r="46976" spans="1:5" ht="16.5">
      <c r="A46976" s="649"/>
      <c r="B46976" s="649"/>
      <c r="E46976" s="649"/>
    </row>
    <row r="46977" spans="1:5" ht="16.5">
      <c r="A46977" s="649"/>
      <c r="B46977" s="649"/>
      <c r="E46977" s="649"/>
    </row>
    <row r="46978" spans="1:5" ht="16.5">
      <c r="A46978" s="649"/>
      <c r="B46978" s="649"/>
      <c r="E46978" s="649"/>
    </row>
    <row r="46979" spans="1:5" ht="16.5">
      <c r="A46979" s="649"/>
      <c r="B46979" s="649"/>
      <c r="E46979" s="649"/>
    </row>
    <row r="46980" spans="1:5" ht="16.5">
      <c r="A46980" s="649"/>
      <c r="B46980" s="649"/>
      <c r="E46980" s="649"/>
    </row>
    <row r="46981" spans="1:5" ht="16.5">
      <c r="A46981" s="649"/>
      <c r="B46981" s="649"/>
      <c r="E46981" s="649"/>
    </row>
    <row r="46982" spans="1:5" ht="16.5">
      <c r="A46982" s="649"/>
      <c r="B46982" s="649"/>
      <c r="E46982" s="649"/>
    </row>
    <row r="46983" spans="1:5" ht="16.5">
      <c r="A46983" s="649"/>
      <c r="B46983" s="649"/>
      <c r="E46983" s="649"/>
    </row>
    <row r="46984" spans="1:5" ht="16.5">
      <c r="A46984" s="649"/>
      <c r="B46984" s="649"/>
      <c r="E46984" s="649"/>
    </row>
    <row r="46985" spans="1:5" ht="16.5">
      <c r="A46985" s="649"/>
      <c r="B46985" s="649"/>
      <c r="E46985" s="649"/>
    </row>
    <row r="46986" spans="1:5" ht="16.5">
      <c r="A46986" s="649"/>
      <c r="B46986" s="649"/>
      <c r="E46986" s="649"/>
    </row>
    <row r="46987" spans="1:5" ht="16.5">
      <c r="A46987" s="649"/>
      <c r="B46987" s="649"/>
      <c r="E46987" s="649"/>
    </row>
    <row r="46988" spans="1:5" ht="16.5">
      <c r="A46988" s="649"/>
      <c r="B46988" s="649"/>
      <c r="E46988" s="649"/>
    </row>
    <row r="46989" spans="1:5" ht="16.5">
      <c r="A46989" s="649"/>
      <c r="B46989" s="649"/>
      <c r="E46989" s="649"/>
    </row>
    <row r="46990" spans="1:5" ht="16.5">
      <c r="A46990" s="649"/>
      <c r="B46990" s="649"/>
      <c r="E46990" s="649"/>
    </row>
    <row r="46991" spans="1:5" ht="16.5">
      <c r="A46991" s="649"/>
      <c r="B46991" s="649"/>
      <c r="E46991" s="649"/>
    </row>
    <row r="46992" spans="1:5" ht="16.5">
      <c r="A46992" s="649"/>
      <c r="B46992" s="649"/>
      <c r="E46992" s="649"/>
    </row>
    <row r="46993" spans="1:5" ht="16.5">
      <c r="A46993" s="649"/>
      <c r="B46993" s="649"/>
      <c r="E46993" s="649"/>
    </row>
    <row r="46994" spans="1:5" ht="16.5">
      <c r="A46994" s="649"/>
      <c r="B46994" s="649"/>
      <c r="E46994" s="649"/>
    </row>
    <row r="46995" spans="1:5" ht="16.5">
      <c r="A46995" s="649"/>
      <c r="B46995" s="649"/>
      <c r="E46995" s="649"/>
    </row>
    <row r="46996" spans="1:5" ht="16.5">
      <c r="A46996" s="649"/>
      <c r="B46996" s="649"/>
      <c r="E46996" s="649"/>
    </row>
    <row r="46997" spans="1:5" ht="16.5">
      <c r="A46997" s="649"/>
      <c r="B46997" s="649"/>
      <c r="E46997" s="649"/>
    </row>
    <row r="46998" spans="1:5" ht="16.5">
      <c r="A46998" s="649"/>
      <c r="B46998" s="649"/>
      <c r="E46998" s="649"/>
    </row>
    <row r="46999" spans="1:5" ht="16.5">
      <c r="A46999" s="649"/>
      <c r="B46999" s="649"/>
      <c r="E46999" s="649"/>
    </row>
    <row r="47000" spans="1:5" ht="16.5">
      <c r="A47000" s="649"/>
      <c r="B47000" s="649"/>
      <c r="E47000" s="649"/>
    </row>
    <row r="47001" spans="1:5" ht="16.5">
      <c r="A47001" s="649"/>
      <c r="B47001" s="649"/>
      <c r="E47001" s="649"/>
    </row>
    <row r="47002" spans="1:5" ht="16.5">
      <c r="A47002" s="649"/>
      <c r="B47002" s="649"/>
      <c r="E47002" s="649"/>
    </row>
    <row r="47003" spans="1:5" ht="16.5">
      <c r="A47003" s="649"/>
      <c r="B47003" s="649"/>
      <c r="E47003" s="649"/>
    </row>
    <row r="47004" spans="1:5" ht="16.5">
      <c r="A47004" s="649"/>
      <c r="B47004" s="649"/>
      <c r="E47004" s="649"/>
    </row>
    <row r="47005" spans="1:5" ht="16.5">
      <c r="A47005" s="649"/>
      <c r="B47005" s="649"/>
      <c r="E47005" s="649"/>
    </row>
    <row r="47006" spans="1:5" ht="16.5">
      <c r="A47006" s="649"/>
      <c r="B47006" s="649"/>
      <c r="E47006" s="649"/>
    </row>
    <row r="47007" spans="1:5" ht="16.5">
      <c r="A47007" s="649"/>
      <c r="B47007" s="649"/>
      <c r="E47007" s="649"/>
    </row>
    <row r="47008" spans="1:5" ht="16.5">
      <c r="A47008" s="649"/>
      <c r="B47008" s="649"/>
      <c r="E47008" s="649"/>
    </row>
    <row r="47009" spans="1:5" ht="16.5">
      <c r="A47009" s="649"/>
      <c r="B47009" s="649"/>
      <c r="E47009" s="649"/>
    </row>
    <row r="47010" spans="1:5" ht="16.5">
      <c r="A47010" s="649"/>
      <c r="B47010" s="649"/>
      <c r="E47010" s="649"/>
    </row>
    <row r="47011" spans="1:5" ht="16.5">
      <c r="A47011" s="649"/>
      <c r="B47011" s="649"/>
      <c r="E47011" s="649"/>
    </row>
    <row r="47012" spans="1:5" ht="16.5">
      <c r="A47012" s="649"/>
      <c r="B47012" s="649"/>
      <c r="E47012" s="649"/>
    </row>
    <row r="47013" spans="1:5" ht="16.5">
      <c r="A47013" s="649"/>
      <c r="B47013" s="649"/>
      <c r="E47013" s="649"/>
    </row>
    <row r="47014" spans="1:5" ht="16.5">
      <c r="A47014" s="649"/>
      <c r="B47014" s="649"/>
      <c r="E47014" s="649"/>
    </row>
    <row r="47015" spans="1:5" ht="16.5">
      <c r="A47015" s="649"/>
      <c r="B47015" s="649"/>
      <c r="E47015" s="649"/>
    </row>
    <row r="47016" spans="1:5" ht="16.5">
      <c r="A47016" s="649"/>
      <c r="B47016" s="649"/>
      <c r="E47016" s="649"/>
    </row>
    <row r="47017" spans="1:5" ht="16.5">
      <c r="A47017" s="649"/>
      <c r="B47017" s="649"/>
      <c r="E47017" s="649"/>
    </row>
    <row r="47018" spans="1:5" ht="16.5">
      <c r="A47018" s="649"/>
      <c r="B47018" s="649"/>
      <c r="E47018" s="649"/>
    </row>
    <row r="47019" spans="1:5" ht="16.5">
      <c r="A47019" s="649"/>
      <c r="B47019" s="649"/>
      <c r="E47019" s="649"/>
    </row>
    <row r="47020" spans="1:5" ht="16.5">
      <c r="A47020" s="649"/>
      <c r="B47020" s="649"/>
      <c r="E47020" s="649"/>
    </row>
    <row r="47021" spans="1:5" ht="16.5">
      <c r="A47021" s="649"/>
      <c r="B47021" s="649"/>
      <c r="E47021" s="649"/>
    </row>
    <row r="47022" spans="1:5" ht="16.5">
      <c r="A47022" s="649"/>
      <c r="B47022" s="649"/>
      <c r="E47022" s="649"/>
    </row>
    <row r="47023" spans="1:5" ht="16.5">
      <c r="A47023" s="649"/>
      <c r="B47023" s="649"/>
      <c r="E47023" s="649"/>
    </row>
    <row r="47024" spans="1:5" ht="16.5">
      <c r="A47024" s="649"/>
      <c r="B47024" s="649"/>
      <c r="E47024" s="649"/>
    </row>
    <row r="47025" spans="1:5" ht="16.5">
      <c r="A47025" s="649"/>
      <c r="B47025" s="649"/>
      <c r="E47025" s="649"/>
    </row>
    <row r="47026" spans="1:5" ht="16.5">
      <c r="A47026" s="649"/>
      <c r="B47026" s="649"/>
      <c r="E47026" s="649"/>
    </row>
    <row r="47027" spans="1:5" ht="16.5">
      <c r="A47027" s="649"/>
      <c r="B47027" s="649"/>
      <c r="E47027" s="649"/>
    </row>
    <row r="47028" spans="1:5" ht="16.5">
      <c r="A47028" s="649"/>
      <c r="B47028" s="649"/>
      <c r="E47028" s="649"/>
    </row>
    <row r="47029" spans="1:5" ht="16.5">
      <c r="A47029" s="649"/>
      <c r="B47029" s="649"/>
      <c r="E47029" s="649"/>
    </row>
    <row r="47030" spans="1:5" ht="16.5">
      <c r="A47030" s="649"/>
      <c r="B47030" s="649"/>
      <c r="E47030" s="649"/>
    </row>
    <row r="47031" spans="1:5" ht="16.5">
      <c r="A47031" s="649"/>
      <c r="B47031" s="649"/>
      <c r="E47031" s="649"/>
    </row>
    <row r="47032" spans="1:5" ht="16.5">
      <c r="A47032" s="649"/>
      <c r="B47032" s="649"/>
      <c r="E47032" s="649"/>
    </row>
    <row r="47033" spans="1:5" ht="16.5">
      <c r="A47033" s="649"/>
      <c r="B47033" s="649"/>
      <c r="E47033" s="649"/>
    </row>
    <row r="47034" spans="1:5" ht="16.5">
      <c r="A47034" s="649"/>
      <c r="B47034" s="649"/>
      <c r="E47034" s="649"/>
    </row>
    <row r="47035" spans="1:5" ht="16.5">
      <c r="A47035" s="649"/>
      <c r="B47035" s="649"/>
      <c r="E47035" s="649"/>
    </row>
    <row r="47036" spans="1:5" ht="16.5">
      <c r="A47036" s="649"/>
      <c r="B47036" s="649"/>
      <c r="E47036" s="649"/>
    </row>
    <row r="47037" spans="1:5" ht="16.5">
      <c r="A47037" s="649"/>
      <c r="B47037" s="649"/>
      <c r="E47037" s="649"/>
    </row>
    <row r="47038" spans="1:5" ht="16.5">
      <c r="A47038" s="649"/>
      <c r="B47038" s="649"/>
      <c r="E47038" s="649"/>
    </row>
    <row r="47039" spans="1:5" ht="16.5">
      <c r="A47039" s="649"/>
      <c r="B47039" s="649"/>
      <c r="E47039" s="649"/>
    </row>
    <row r="47040" spans="1:5" ht="16.5">
      <c r="A47040" s="649"/>
      <c r="B47040" s="649"/>
      <c r="E47040" s="649"/>
    </row>
    <row r="47041" spans="1:5" ht="16.5">
      <c r="A47041" s="649"/>
      <c r="B47041" s="649"/>
      <c r="E47041" s="649"/>
    </row>
    <row r="47042" spans="1:5" ht="16.5">
      <c r="A47042" s="649"/>
      <c r="B47042" s="649"/>
      <c r="E47042" s="649"/>
    </row>
    <row r="47043" spans="1:5" ht="16.5">
      <c r="A47043" s="649"/>
      <c r="B47043" s="649"/>
      <c r="E47043" s="649"/>
    </row>
    <row r="47044" spans="1:5" ht="16.5">
      <c r="A47044" s="649"/>
      <c r="B47044" s="649"/>
      <c r="E47044" s="649"/>
    </row>
    <row r="47045" spans="1:5" ht="16.5">
      <c r="A47045" s="649"/>
      <c r="B47045" s="649"/>
      <c r="E47045" s="649"/>
    </row>
    <row r="47046" spans="1:5" ht="16.5">
      <c r="A47046" s="649"/>
      <c r="B47046" s="649"/>
      <c r="E47046" s="649"/>
    </row>
    <row r="47047" spans="1:5" ht="16.5">
      <c r="A47047" s="649"/>
      <c r="B47047" s="649"/>
      <c r="E47047" s="649"/>
    </row>
    <row r="47048" spans="1:5" ht="16.5">
      <c r="A47048" s="649"/>
      <c r="B47048" s="649"/>
      <c r="E47048" s="649"/>
    </row>
    <row r="47049" spans="1:5" ht="16.5">
      <c r="A47049" s="649"/>
      <c r="B47049" s="649"/>
      <c r="E47049" s="649"/>
    </row>
    <row r="47050" spans="1:5" ht="16.5">
      <c r="A47050" s="649"/>
      <c r="B47050" s="649"/>
      <c r="E47050" s="649"/>
    </row>
    <row r="47051" spans="1:5" ht="16.5">
      <c r="A47051" s="649"/>
      <c r="B47051" s="649"/>
      <c r="E47051" s="649"/>
    </row>
    <row r="47052" spans="1:5" ht="16.5">
      <c r="A47052" s="649"/>
      <c r="B47052" s="649"/>
      <c r="E47052" s="649"/>
    </row>
    <row r="47053" spans="1:5" ht="16.5">
      <c r="A47053" s="649"/>
      <c r="B47053" s="649"/>
      <c r="E47053" s="649"/>
    </row>
    <row r="47054" spans="1:5" ht="16.5">
      <c r="A47054" s="649"/>
      <c r="B47054" s="649"/>
      <c r="E47054" s="649"/>
    </row>
    <row r="47055" spans="1:5" ht="16.5">
      <c r="A47055" s="649"/>
      <c r="B47055" s="649"/>
      <c r="E47055" s="649"/>
    </row>
    <row r="47056" spans="1:5" ht="16.5">
      <c r="A47056" s="649"/>
      <c r="B47056" s="649"/>
      <c r="E47056" s="649"/>
    </row>
    <row r="47057" spans="1:5" ht="16.5">
      <c r="A47057" s="649"/>
      <c r="B47057" s="649"/>
      <c r="E47057" s="649"/>
    </row>
    <row r="47058" spans="1:5" ht="16.5">
      <c r="A47058" s="649"/>
      <c r="B47058" s="649"/>
      <c r="E47058" s="649"/>
    </row>
    <row r="47059" spans="1:5" ht="16.5">
      <c r="A47059" s="649"/>
      <c r="B47059" s="649"/>
      <c r="E47059" s="649"/>
    </row>
    <row r="47060" spans="1:5" ht="16.5">
      <c r="A47060" s="649"/>
      <c r="B47060" s="649"/>
      <c r="E47060" s="649"/>
    </row>
    <row r="47061" spans="1:5" ht="16.5">
      <c r="A47061" s="649"/>
      <c r="B47061" s="649"/>
      <c r="E47061" s="649"/>
    </row>
    <row r="47062" spans="1:5" ht="16.5">
      <c r="A47062" s="649"/>
      <c r="B47062" s="649"/>
      <c r="E47062" s="649"/>
    </row>
    <row r="47063" spans="1:5" ht="16.5">
      <c r="A47063" s="649"/>
      <c r="B47063" s="649"/>
      <c r="E47063" s="649"/>
    </row>
    <row r="47064" spans="1:5" ht="16.5">
      <c r="A47064" s="649"/>
      <c r="B47064" s="649"/>
      <c r="E47064" s="649"/>
    </row>
    <row r="47065" spans="1:5" ht="16.5">
      <c r="A47065" s="649"/>
      <c r="B47065" s="649"/>
      <c r="E47065" s="649"/>
    </row>
    <row r="47066" spans="1:5" ht="16.5">
      <c r="A47066" s="649"/>
      <c r="B47066" s="649"/>
      <c r="E47066" s="649"/>
    </row>
    <row r="47067" spans="1:5" ht="16.5">
      <c r="A47067" s="649"/>
      <c r="B47067" s="649"/>
      <c r="E47067" s="649"/>
    </row>
    <row r="47068" spans="1:5" ht="16.5">
      <c r="A47068" s="649"/>
      <c r="B47068" s="649"/>
      <c r="E47068" s="649"/>
    </row>
    <row r="47069" spans="1:5" ht="16.5">
      <c r="A47069" s="649"/>
      <c r="B47069" s="649"/>
      <c r="E47069" s="649"/>
    </row>
    <row r="47070" spans="1:5" ht="16.5">
      <c r="A47070" s="649"/>
      <c r="B47070" s="649"/>
      <c r="E47070" s="649"/>
    </row>
    <row r="47071" spans="1:5" ht="16.5">
      <c r="A47071" s="649"/>
      <c r="B47071" s="649"/>
      <c r="E47071" s="649"/>
    </row>
    <row r="47072" spans="1:5" ht="16.5">
      <c r="A47072" s="649"/>
      <c r="B47072" s="649"/>
      <c r="E47072" s="649"/>
    </row>
    <row r="47073" spans="1:5" ht="16.5">
      <c r="A47073" s="649"/>
      <c r="B47073" s="649"/>
      <c r="E47073" s="649"/>
    </row>
    <row r="47074" spans="1:5" ht="16.5">
      <c r="A47074" s="649"/>
      <c r="B47074" s="649"/>
      <c r="E47074" s="649"/>
    </row>
    <row r="47075" spans="1:5" ht="16.5">
      <c r="A47075" s="649"/>
      <c r="B47075" s="649"/>
      <c r="E47075" s="649"/>
    </row>
    <row r="47076" spans="1:5" ht="16.5">
      <c r="A47076" s="649"/>
      <c r="B47076" s="649"/>
      <c r="E47076" s="649"/>
    </row>
    <row r="47077" spans="1:5" ht="16.5">
      <c r="A47077" s="649"/>
      <c r="B47077" s="649"/>
      <c r="E47077" s="649"/>
    </row>
    <row r="47078" spans="1:5" ht="16.5">
      <c r="A47078" s="649"/>
      <c r="B47078" s="649"/>
      <c r="E47078" s="649"/>
    </row>
    <row r="47079" spans="1:5" ht="16.5">
      <c r="A47079" s="649"/>
      <c r="B47079" s="649"/>
      <c r="E47079" s="649"/>
    </row>
    <row r="47080" spans="1:5" ht="16.5">
      <c r="A47080" s="649"/>
      <c r="B47080" s="649"/>
      <c r="E47080" s="649"/>
    </row>
    <row r="47081" spans="1:5" ht="16.5">
      <c r="A47081" s="649"/>
      <c r="B47081" s="649"/>
      <c r="E47081" s="649"/>
    </row>
    <row r="47082" spans="1:5" ht="16.5">
      <c r="A47082" s="649"/>
      <c r="B47082" s="649"/>
      <c r="E47082" s="649"/>
    </row>
    <row r="47083" spans="1:5" ht="16.5">
      <c r="A47083" s="649"/>
      <c r="B47083" s="649"/>
      <c r="E47083" s="649"/>
    </row>
    <row r="47084" spans="1:5" ht="16.5">
      <c r="A47084" s="649"/>
      <c r="B47084" s="649"/>
      <c r="E47084" s="649"/>
    </row>
    <row r="47085" spans="1:5" ht="16.5">
      <c r="A47085" s="649"/>
      <c r="B47085" s="649"/>
      <c r="E47085" s="649"/>
    </row>
    <row r="47086" spans="1:5" ht="16.5">
      <c r="A47086" s="649"/>
      <c r="B47086" s="649"/>
      <c r="E47086" s="649"/>
    </row>
    <row r="47087" spans="1:5" ht="16.5">
      <c r="A47087" s="649"/>
      <c r="B47087" s="649"/>
      <c r="E47087" s="649"/>
    </row>
    <row r="47088" spans="1:5" ht="16.5">
      <c r="A47088" s="649"/>
      <c r="B47088" s="649"/>
      <c r="E47088" s="649"/>
    </row>
    <row r="47089" spans="1:5" ht="16.5">
      <c r="A47089" s="649"/>
      <c r="B47089" s="649"/>
      <c r="E47089" s="649"/>
    </row>
    <row r="47090" spans="1:5" ht="16.5">
      <c r="A47090" s="649"/>
      <c r="B47090" s="649"/>
      <c r="E47090" s="649"/>
    </row>
    <row r="47091" spans="1:5" ht="16.5">
      <c r="A47091" s="649"/>
      <c r="B47091" s="649"/>
      <c r="E47091" s="649"/>
    </row>
    <row r="47092" spans="1:5" ht="16.5">
      <c r="A47092" s="649"/>
      <c r="B47092" s="649"/>
      <c r="E47092" s="649"/>
    </row>
    <row r="47093" spans="1:5" ht="16.5">
      <c r="A47093" s="649"/>
      <c r="B47093" s="649"/>
      <c r="E47093" s="649"/>
    </row>
    <row r="47094" spans="1:5" ht="16.5">
      <c r="A47094" s="649"/>
      <c r="B47094" s="649"/>
      <c r="E47094" s="649"/>
    </row>
    <row r="47095" spans="1:5" ht="16.5">
      <c r="A47095" s="649"/>
      <c r="B47095" s="649"/>
      <c r="E47095" s="649"/>
    </row>
    <row r="47096" spans="1:5" ht="16.5">
      <c r="A47096" s="649"/>
      <c r="B47096" s="649"/>
      <c r="E47096" s="649"/>
    </row>
    <row r="47097" spans="1:5" ht="16.5">
      <c r="A47097" s="649"/>
      <c r="B47097" s="649"/>
      <c r="E47097" s="649"/>
    </row>
    <row r="47098" spans="1:5" ht="16.5">
      <c r="A47098" s="649"/>
      <c r="B47098" s="649"/>
      <c r="E47098" s="649"/>
    </row>
    <row r="47099" spans="1:5" ht="16.5">
      <c r="A47099" s="649"/>
      <c r="B47099" s="649"/>
      <c r="E47099" s="649"/>
    </row>
    <row r="47100" spans="1:5" ht="16.5">
      <c r="A47100" s="649"/>
      <c r="B47100" s="649"/>
      <c r="E47100" s="649"/>
    </row>
    <row r="47101" spans="1:5" ht="16.5">
      <c r="A47101" s="649"/>
      <c r="B47101" s="649"/>
      <c r="E47101" s="649"/>
    </row>
    <row r="47102" spans="1:5" ht="16.5">
      <c r="A47102" s="649"/>
      <c r="B47102" s="649"/>
      <c r="E47102" s="649"/>
    </row>
    <row r="47103" spans="1:5" ht="16.5">
      <c r="A47103" s="649"/>
      <c r="B47103" s="649"/>
      <c r="E47103" s="649"/>
    </row>
    <row r="47104" spans="1:5" ht="16.5">
      <c r="A47104" s="649"/>
      <c r="B47104" s="649"/>
      <c r="E47104" s="649"/>
    </row>
    <row r="47105" spans="1:5" ht="16.5">
      <c r="A47105" s="649"/>
      <c r="B47105" s="649"/>
      <c r="E47105" s="649"/>
    </row>
    <row r="47106" spans="1:5" ht="16.5">
      <c r="A47106" s="649"/>
      <c r="B47106" s="649"/>
      <c r="E47106" s="649"/>
    </row>
    <row r="47107" spans="1:5" ht="16.5">
      <c r="A47107" s="649"/>
      <c r="B47107" s="649"/>
      <c r="E47107" s="649"/>
    </row>
    <row r="47108" spans="1:5" ht="16.5">
      <c r="A47108" s="649"/>
      <c r="B47108" s="649"/>
      <c r="E47108" s="649"/>
    </row>
    <row r="47109" spans="1:5" ht="16.5">
      <c r="A47109" s="649"/>
      <c r="B47109" s="649"/>
      <c r="E47109" s="649"/>
    </row>
    <row r="47110" spans="1:5" ht="16.5">
      <c r="A47110" s="649"/>
      <c r="B47110" s="649"/>
      <c r="E47110" s="649"/>
    </row>
    <row r="47111" spans="1:5" ht="16.5">
      <c r="A47111" s="649"/>
      <c r="B47111" s="649"/>
      <c r="E47111" s="649"/>
    </row>
    <row r="47112" spans="1:5" ht="16.5">
      <c r="A47112" s="649"/>
      <c r="B47112" s="649"/>
      <c r="E47112" s="649"/>
    </row>
    <row r="47113" spans="1:5" ht="16.5">
      <c r="A47113" s="649"/>
      <c r="B47113" s="649"/>
      <c r="E47113" s="649"/>
    </row>
    <row r="47114" spans="1:5" ht="16.5">
      <c r="A47114" s="649"/>
      <c r="B47114" s="649"/>
      <c r="E47114" s="649"/>
    </row>
    <row r="47115" spans="1:5" ht="16.5">
      <c r="A47115" s="649"/>
      <c r="B47115" s="649"/>
      <c r="E47115" s="649"/>
    </row>
    <row r="47116" spans="1:5" ht="16.5">
      <c r="A47116" s="649"/>
      <c r="B47116" s="649"/>
      <c r="E47116" s="649"/>
    </row>
    <row r="47117" spans="1:5" ht="16.5">
      <c r="A47117" s="649"/>
      <c r="B47117" s="649"/>
      <c r="E47117" s="649"/>
    </row>
    <row r="47118" spans="1:5" ht="16.5">
      <c r="A47118" s="649"/>
      <c r="B47118" s="649"/>
      <c r="E47118" s="649"/>
    </row>
    <row r="47119" spans="1:5" ht="16.5">
      <c r="A47119" s="649"/>
      <c r="B47119" s="649"/>
      <c r="E47119" s="649"/>
    </row>
    <row r="47120" spans="1:5" ht="16.5">
      <c r="A47120" s="649"/>
      <c r="B47120" s="649"/>
      <c r="E47120" s="649"/>
    </row>
    <row r="47121" spans="1:5" ht="16.5">
      <c r="A47121" s="649"/>
      <c r="B47121" s="649"/>
      <c r="E47121" s="649"/>
    </row>
    <row r="47122" spans="1:5" ht="16.5">
      <c r="A47122" s="649"/>
      <c r="B47122" s="649"/>
      <c r="E47122" s="649"/>
    </row>
    <row r="47123" spans="1:5" ht="16.5">
      <c r="A47123" s="649"/>
      <c r="B47123" s="649"/>
      <c r="E47123" s="649"/>
    </row>
    <row r="47124" spans="1:5" ht="16.5">
      <c r="A47124" s="649"/>
      <c r="B47124" s="649"/>
      <c r="E47124" s="649"/>
    </row>
    <row r="47125" spans="1:5" ht="16.5">
      <c r="A47125" s="649"/>
      <c r="B47125" s="649"/>
      <c r="E47125" s="649"/>
    </row>
    <row r="47126" spans="1:5" ht="16.5">
      <c r="A47126" s="649"/>
      <c r="B47126" s="649"/>
      <c r="E47126" s="649"/>
    </row>
    <row r="47127" spans="1:5" ht="16.5">
      <c r="A47127" s="649"/>
      <c r="B47127" s="649"/>
      <c r="E47127" s="649"/>
    </row>
    <row r="47128" spans="1:5" ht="16.5">
      <c r="A47128" s="649"/>
      <c r="B47128" s="649"/>
      <c r="E47128" s="649"/>
    </row>
    <row r="47129" spans="1:5" ht="16.5">
      <c r="A47129" s="649"/>
      <c r="B47129" s="649"/>
      <c r="E47129" s="649"/>
    </row>
    <row r="47130" spans="1:5" ht="16.5">
      <c r="A47130" s="649"/>
      <c r="B47130" s="649"/>
      <c r="E47130" s="649"/>
    </row>
    <row r="47131" spans="1:5" ht="16.5">
      <c r="A47131" s="649"/>
      <c r="B47131" s="649"/>
      <c r="E47131" s="649"/>
    </row>
    <row r="47132" spans="1:5" ht="16.5">
      <c r="A47132" s="649"/>
      <c r="B47132" s="649"/>
      <c r="E47132" s="649"/>
    </row>
    <row r="47133" spans="1:5" ht="16.5">
      <c r="A47133" s="649"/>
      <c r="B47133" s="649"/>
      <c r="E47133" s="649"/>
    </row>
    <row r="47134" spans="1:5" ht="16.5">
      <c r="A47134" s="649"/>
      <c r="B47134" s="649"/>
      <c r="E47134" s="649"/>
    </row>
    <row r="47135" spans="1:5" ht="16.5">
      <c r="A47135" s="649"/>
      <c r="B47135" s="649"/>
      <c r="E47135" s="649"/>
    </row>
    <row r="47136" spans="1:5" ht="16.5">
      <c r="A47136" s="649"/>
      <c r="B47136" s="649"/>
      <c r="E47136" s="649"/>
    </row>
    <row r="47137" spans="1:5" ht="16.5">
      <c r="A47137" s="649"/>
      <c r="B47137" s="649"/>
      <c r="E47137" s="649"/>
    </row>
    <row r="47138" spans="1:5" ht="16.5">
      <c r="A47138" s="649"/>
      <c r="B47138" s="649"/>
      <c r="E47138" s="649"/>
    </row>
    <row r="47139" spans="1:5" ht="16.5">
      <c r="A47139" s="649"/>
      <c r="B47139" s="649"/>
      <c r="E47139" s="649"/>
    </row>
    <row r="47140" spans="1:5" ht="16.5">
      <c r="A47140" s="649"/>
      <c r="B47140" s="649"/>
      <c r="E47140" s="649"/>
    </row>
    <row r="47141" spans="1:5" ht="16.5">
      <c r="A47141" s="649"/>
      <c r="B47141" s="649"/>
      <c r="E47141" s="649"/>
    </row>
    <row r="47142" spans="1:5" ht="16.5">
      <c r="A47142" s="649"/>
      <c r="B47142" s="649"/>
      <c r="E47142" s="649"/>
    </row>
    <row r="47143" spans="1:5" ht="16.5">
      <c r="A47143" s="649"/>
      <c r="B47143" s="649"/>
      <c r="E47143" s="649"/>
    </row>
    <row r="47144" spans="1:5" ht="16.5">
      <c r="A47144" s="649"/>
      <c r="B47144" s="649"/>
      <c r="E47144" s="649"/>
    </row>
    <row r="47145" spans="1:5" ht="16.5">
      <c r="A47145" s="649"/>
      <c r="B47145" s="649"/>
      <c r="E47145" s="649"/>
    </row>
    <row r="47146" spans="1:5" ht="16.5">
      <c r="A47146" s="649"/>
      <c r="B47146" s="649"/>
      <c r="E47146" s="649"/>
    </row>
    <row r="47147" spans="1:5" ht="16.5">
      <c r="A47147" s="649"/>
      <c r="B47147" s="649"/>
      <c r="E47147" s="649"/>
    </row>
    <row r="47148" spans="1:5" ht="16.5">
      <c r="A47148" s="649"/>
      <c r="B47148" s="649"/>
      <c r="E47148" s="649"/>
    </row>
    <row r="47149" spans="1:5" ht="16.5">
      <c r="A47149" s="649"/>
      <c r="B47149" s="649"/>
      <c r="E47149" s="649"/>
    </row>
    <row r="47150" spans="1:5" ht="16.5">
      <c r="A47150" s="649"/>
      <c r="B47150" s="649"/>
      <c r="E47150" s="649"/>
    </row>
    <row r="47151" spans="1:5" ht="16.5">
      <c r="A47151" s="649"/>
      <c r="B47151" s="649"/>
      <c r="E47151" s="649"/>
    </row>
    <row r="47152" spans="1:5" ht="16.5">
      <c r="A47152" s="649"/>
      <c r="B47152" s="649"/>
      <c r="E47152" s="649"/>
    </row>
    <row r="47153" spans="1:5" ht="16.5">
      <c r="A47153" s="649"/>
      <c r="B47153" s="649"/>
      <c r="E47153" s="649"/>
    </row>
    <row r="47154" spans="1:5" ht="16.5">
      <c r="A47154" s="649"/>
      <c r="B47154" s="649"/>
      <c r="E47154" s="649"/>
    </row>
    <row r="47155" spans="1:5" ht="16.5">
      <c r="A47155" s="649"/>
      <c r="B47155" s="649"/>
      <c r="E47155" s="649"/>
    </row>
    <row r="47156" spans="1:5" ht="16.5">
      <c r="A47156" s="649"/>
      <c r="B47156" s="649"/>
      <c r="E47156" s="649"/>
    </row>
    <row r="47157" spans="1:5" ht="16.5">
      <c r="A47157" s="649"/>
      <c r="B47157" s="649"/>
      <c r="E47157" s="649"/>
    </row>
    <row r="47158" spans="1:5" ht="16.5">
      <c r="A47158" s="649"/>
      <c r="B47158" s="649"/>
      <c r="E47158" s="649"/>
    </row>
    <row r="47159" spans="1:5" ht="16.5">
      <c r="A47159" s="649"/>
      <c r="B47159" s="649"/>
      <c r="E47159" s="649"/>
    </row>
    <row r="47160" spans="1:5" ht="16.5">
      <c r="A47160" s="649"/>
      <c r="B47160" s="649"/>
      <c r="E47160" s="649"/>
    </row>
    <row r="47161" spans="1:5" ht="16.5">
      <c r="A47161" s="649"/>
      <c r="B47161" s="649"/>
      <c r="E47161" s="649"/>
    </row>
    <row r="47162" spans="1:5" ht="16.5">
      <c r="A47162" s="649"/>
      <c r="B47162" s="649"/>
      <c r="E47162" s="649"/>
    </row>
    <row r="47163" spans="1:5" ht="16.5">
      <c r="A47163" s="649"/>
      <c r="B47163" s="649"/>
      <c r="E47163" s="649"/>
    </row>
    <row r="47164" spans="1:5" ht="16.5">
      <c r="A47164" s="649"/>
      <c r="B47164" s="649"/>
      <c r="E47164" s="649"/>
    </row>
    <row r="47165" spans="1:5" ht="16.5">
      <c r="A47165" s="649"/>
      <c r="B47165" s="649"/>
      <c r="E47165" s="649"/>
    </row>
    <row r="47166" spans="1:5" ht="16.5">
      <c r="A47166" s="649"/>
      <c r="B47166" s="649"/>
      <c r="E47166" s="649"/>
    </row>
    <row r="47167" spans="1:5" ht="16.5">
      <c r="A47167" s="649"/>
      <c r="B47167" s="649"/>
      <c r="E47167" s="649"/>
    </row>
    <row r="47168" spans="1:5" ht="16.5">
      <c r="A47168" s="649"/>
      <c r="B47168" s="649"/>
      <c r="E47168" s="649"/>
    </row>
    <row r="47169" spans="1:5" ht="16.5">
      <c r="A47169" s="649"/>
      <c r="B47169" s="649"/>
      <c r="E47169" s="649"/>
    </row>
    <row r="47170" spans="1:5" ht="16.5">
      <c r="A47170" s="649"/>
      <c r="B47170" s="649"/>
      <c r="E47170" s="649"/>
    </row>
    <row r="47171" spans="1:5" ht="16.5">
      <c r="A47171" s="649"/>
      <c r="B47171" s="649"/>
      <c r="E47171" s="649"/>
    </row>
    <row r="47172" spans="1:5" ht="16.5">
      <c r="A47172" s="649"/>
      <c r="B47172" s="649"/>
      <c r="E47172" s="649"/>
    </row>
    <row r="47173" spans="1:5" ht="16.5">
      <c r="A47173" s="649"/>
      <c r="B47173" s="649"/>
      <c r="E47173" s="649"/>
    </row>
    <row r="47174" spans="1:5" ht="16.5">
      <c r="A47174" s="649"/>
      <c r="B47174" s="649"/>
      <c r="E47174" s="649"/>
    </row>
    <row r="47175" spans="1:5" ht="16.5">
      <c r="A47175" s="649"/>
      <c r="B47175" s="649"/>
      <c r="E47175" s="649"/>
    </row>
    <row r="47176" spans="1:5" ht="16.5">
      <c r="A47176" s="649"/>
      <c r="B47176" s="649"/>
      <c r="E47176" s="649"/>
    </row>
    <row r="47177" spans="1:5" ht="16.5">
      <c r="A47177" s="649"/>
      <c r="B47177" s="649"/>
      <c r="E47177" s="649"/>
    </row>
    <row r="47178" spans="1:5" ht="16.5">
      <c r="A47178" s="649"/>
      <c r="B47178" s="649"/>
      <c r="E47178" s="649"/>
    </row>
    <row r="47179" spans="1:5" ht="16.5">
      <c r="A47179" s="649"/>
      <c r="B47179" s="649"/>
      <c r="E47179" s="649"/>
    </row>
    <row r="47180" spans="1:5" ht="16.5">
      <c r="A47180" s="649"/>
      <c r="B47180" s="649"/>
      <c r="E47180" s="649"/>
    </row>
    <row r="47181" spans="1:5" ht="16.5">
      <c r="A47181" s="649"/>
      <c r="B47181" s="649"/>
      <c r="E47181" s="649"/>
    </row>
    <row r="47182" spans="1:5" ht="16.5">
      <c r="A47182" s="649"/>
      <c r="B47182" s="649"/>
      <c r="E47182" s="649"/>
    </row>
    <row r="47183" spans="1:5" ht="16.5">
      <c r="A47183" s="649"/>
      <c r="B47183" s="649"/>
      <c r="E47183" s="649"/>
    </row>
    <row r="47184" spans="1:5" ht="16.5">
      <c r="A47184" s="649"/>
      <c r="B47184" s="649"/>
      <c r="E47184" s="649"/>
    </row>
    <row r="47185" spans="1:5" ht="16.5">
      <c r="A47185" s="649"/>
      <c r="B47185" s="649"/>
      <c r="E47185" s="649"/>
    </row>
    <row r="47186" spans="1:5" ht="16.5">
      <c r="A47186" s="649"/>
      <c r="B47186" s="649"/>
      <c r="E47186" s="649"/>
    </row>
    <row r="47187" spans="1:5" ht="16.5">
      <c r="A47187" s="649"/>
      <c r="B47187" s="649"/>
      <c r="E47187" s="649"/>
    </row>
    <row r="47188" spans="1:5" ht="16.5">
      <c r="A47188" s="649"/>
      <c r="B47188" s="649"/>
      <c r="E47188" s="649"/>
    </row>
    <row r="47189" spans="1:5" ht="16.5">
      <c r="A47189" s="649"/>
      <c r="B47189" s="649"/>
      <c r="E47189" s="649"/>
    </row>
    <row r="47190" spans="1:5" ht="16.5">
      <c r="A47190" s="649"/>
      <c r="B47190" s="649"/>
      <c r="E47190" s="649"/>
    </row>
    <row r="47191" spans="1:5" ht="16.5">
      <c r="A47191" s="649"/>
      <c r="B47191" s="649"/>
      <c r="E47191" s="649"/>
    </row>
    <row r="47192" spans="1:5" ht="16.5">
      <c r="A47192" s="649"/>
      <c r="B47192" s="649"/>
      <c r="E47192" s="649"/>
    </row>
    <row r="47193" spans="1:5" ht="16.5">
      <c r="A47193" s="649"/>
      <c r="B47193" s="649"/>
      <c r="E47193" s="649"/>
    </row>
    <row r="47194" spans="1:5" ht="16.5">
      <c r="A47194" s="649"/>
      <c r="B47194" s="649"/>
      <c r="E47194" s="649"/>
    </row>
    <row r="47195" spans="1:5" ht="16.5">
      <c r="A47195" s="649"/>
      <c r="B47195" s="649"/>
      <c r="E47195" s="649"/>
    </row>
    <row r="47196" spans="1:5" ht="16.5">
      <c r="A47196" s="649"/>
      <c r="B47196" s="649"/>
      <c r="E47196" s="649"/>
    </row>
    <row r="47197" spans="1:5" ht="16.5">
      <c r="A47197" s="649"/>
      <c r="B47197" s="649"/>
      <c r="E47197" s="649"/>
    </row>
    <row r="47198" spans="1:5" ht="16.5">
      <c r="A47198" s="649"/>
      <c r="B47198" s="649"/>
      <c r="E47198" s="649"/>
    </row>
    <row r="47199" spans="1:5" ht="16.5">
      <c r="A47199" s="649"/>
      <c r="B47199" s="649"/>
      <c r="E47199" s="649"/>
    </row>
    <row r="47200" spans="1:5" ht="16.5">
      <c r="A47200" s="649"/>
      <c r="B47200" s="649"/>
      <c r="E47200" s="649"/>
    </row>
    <row r="47201" spans="1:5" ht="16.5">
      <c r="A47201" s="649"/>
      <c r="B47201" s="649"/>
      <c r="E47201" s="649"/>
    </row>
    <row r="47202" spans="1:5" ht="16.5">
      <c r="A47202" s="649"/>
      <c r="B47202" s="649"/>
      <c r="E47202" s="649"/>
    </row>
    <row r="47203" spans="1:5" ht="16.5">
      <c r="A47203" s="649"/>
      <c r="B47203" s="649"/>
      <c r="E47203" s="649"/>
    </row>
    <row r="47204" spans="1:5" ht="16.5">
      <c r="A47204" s="649"/>
      <c r="B47204" s="649"/>
      <c r="E47204" s="649"/>
    </row>
    <row r="47205" spans="1:5" ht="16.5">
      <c r="A47205" s="649"/>
      <c r="B47205" s="649"/>
      <c r="E47205" s="649"/>
    </row>
    <row r="47206" spans="1:5" ht="16.5">
      <c r="A47206" s="649"/>
      <c r="B47206" s="649"/>
      <c r="E47206" s="649"/>
    </row>
    <row r="47207" spans="1:5" ht="16.5">
      <c r="A47207" s="649"/>
      <c r="B47207" s="649"/>
      <c r="E47207" s="649"/>
    </row>
    <row r="47208" spans="1:5" ht="16.5">
      <c r="A47208" s="649"/>
      <c r="B47208" s="649"/>
      <c r="E47208" s="649"/>
    </row>
    <row r="47209" spans="1:5" ht="16.5">
      <c r="A47209" s="649"/>
      <c r="B47209" s="649"/>
      <c r="E47209" s="649"/>
    </row>
    <row r="47210" spans="1:5" ht="16.5">
      <c r="A47210" s="649"/>
      <c r="B47210" s="649"/>
      <c r="E47210" s="649"/>
    </row>
    <row r="47211" spans="1:5" ht="16.5">
      <c r="A47211" s="649"/>
      <c r="B47211" s="649"/>
      <c r="E47211" s="649"/>
    </row>
    <row r="47212" spans="1:5" ht="16.5">
      <c r="A47212" s="649"/>
      <c r="B47212" s="649"/>
      <c r="E47212" s="649"/>
    </row>
    <row r="47213" spans="1:5" ht="16.5">
      <c r="A47213" s="649"/>
      <c r="B47213" s="649"/>
      <c r="E47213" s="649"/>
    </row>
    <row r="47214" spans="1:5" ht="16.5">
      <c r="A47214" s="649"/>
      <c r="B47214" s="649"/>
      <c r="E47214" s="649"/>
    </row>
    <row r="47215" spans="1:5" ht="16.5">
      <c r="A47215" s="649"/>
      <c r="B47215" s="649"/>
      <c r="E47215" s="649"/>
    </row>
    <row r="47216" spans="1:5" ht="16.5">
      <c r="A47216" s="649"/>
      <c r="B47216" s="649"/>
      <c r="E47216" s="649"/>
    </row>
    <row r="47217" spans="1:5" ht="16.5">
      <c r="A47217" s="649"/>
      <c r="B47217" s="649"/>
      <c r="E47217" s="649"/>
    </row>
    <row r="47218" spans="1:5" ht="16.5">
      <c r="A47218" s="649"/>
      <c r="B47218" s="649"/>
      <c r="E47218" s="649"/>
    </row>
    <row r="47219" spans="1:5" ht="16.5">
      <c r="A47219" s="649"/>
      <c r="B47219" s="649"/>
      <c r="E47219" s="649"/>
    </row>
    <row r="47220" spans="1:5" ht="16.5">
      <c r="A47220" s="649"/>
      <c r="B47220" s="649"/>
      <c r="E47220" s="649"/>
    </row>
    <row r="47221" spans="1:5" ht="16.5">
      <c r="A47221" s="649"/>
      <c r="B47221" s="649"/>
      <c r="E47221" s="649"/>
    </row>
    <row r="47222" spans="1:5" ht="16.5">
      <c r="A47222" s="649"/>
      <c r="B47222" s="649"/>
      <c r="E47222" s="649"/>
    </row>
    <row r="47223" spans="1:5" ht="16.5">
      <c r="A47223" s="649"/>
      <c r="B47223" s="649"/>
      <c r="E47223" s="649"/>
    </row>
    <row r="47224" spans="1:5" ht="16.5">
      <c r="A47224" s="649"/>
      <c r="B47224" s="649"/>
      <c r="E47224" s="649"/>
    </row>
    <row r="47225" spans="1:5" ht="16.5">
      <c r="A47225" s="649"/>
      <c r="B47225" s="649"/>
      <c r="E47225" s="649"/>
    </row>
    <row r="47226" spans="1:5" ht="16.5">
      <c r="A47226" s="649"/>
      <c r="B47226" s="649"/>
      <c r="E47226" s="649"/>
    </row>
    <row r="47227" spans="1:5" ht="16.5">
      <c r="A47227" s="649"/>
      <c r="B47227" s="649"/>
      <c r="E47227" s="649"/>
    </row>
    <row r="47228" spans="1:5" ht="16.5">
      <c r="A47228" s="649"/>
      <c r="B47228" s="649"/>
      <c r="E47228" s="649"/>
    </row>
    <row r="47229" spans="1:5" ht="16.5">
      <c r="A47229" s="649"/>
      <c r="B47229" s="649"/>
      <c r="E47229" s="649"/>
    </row>
    <row r="47230" spans="1:5" ht="16.5">
      <c r="A47230" s="649"/>
      <c r="B47230" s="649"/>
      <c r="E47230" s="649"/>
    </row>
    <row r="47231" spans="1:5" ht="16.5">
      <c r="A47231" s="649"/>
      <c r="B47231" s="649"/>
      <c r="E47231" s="649"/>
    </row>
    <row r="47232" spans="1:5" ht="16.5">
      <c r="A47232" s="649"/>
      <c r="B47232" s="649"/>
      <c r="E47232" s="649"/>
    </row>
    <row r="47233" spans="1:5" ht="16.5">
      <c r="A47233" s="649"/>
      <c r="B47233" s="649"/>
      <c r="E47233" s="649"/>
    </row>
    <row r="47234" spans="1:5" ht="16.5">
      <c r="A47234" s="649"/>
      <c r="B47234" s="649"/>
      <c r="E47234" s="649"/>
    </row>
    <row r="47235" spans="1:5" ht="16.5">
      <c r="A47235" s="649"/>
      <c r="B47235" s="649"/>
      <c r="E47235" s="649"/>
    </row>
    <row r="47236" spans="1:5" ht="16.5">
      <c r="A47236" s="649"/>
      <c r="B47236" s="649"/>
      <c r="E47236" s="649"/>
    </row>
    <row r="47237" spans="1:5" ht="16.5">
      <c r="A47237" s="649"/>
      <c r="B47237" s="649"/>
      <c r="E47237" s="649"/>
    </row>
    <row r="47238" spans="1:5" ht="16.5">
      <c r="A47238" s="649"/>
      <c r="B47238" s="649"/>
      <c r="E47238" s="649"/>
    </row>
    <row r="47239" spans="1:5" ht="16.5">
      <c r="A47239" s="649"/>
      <c r="B47239" s="649"/>
      <c r="E47239" s="649"/>
    </row>
    <row r="47240" spans="1:5" ht="16.5">
      <c r="A47240" s="649"/>
      <c r="B47240" s="649"/>
      <c r="E47240" s="649"/>
    </row>
    <row r="47241" spans="1:5" ht="16.5">
      <c r="A47241" s="649"/>
      <c r="B47241" s="649"/>
      <c r="E47241" s="649"/>
    </row>
    <row r="47242" spans="1:5" ht="16.5">
      <c r="A47242" s="649"/>
      <c r="B47242" s="649"/>
      <c r="E47242" s="649"/>
    </row>
    <row r="47243" spans="1:5" ht="16.5">
      <c r="A47243" s="649"/>
      <c r="B47243" s="649"/>
      <c r="E47243" s="649"/>
    </row>
    <row r="47244" spans="1:5" ht="16.5">
      <c r="A47244" s="649"/>
      <c r="B47244" s="649"/>
      <c r="E47244" s="649"/>
    </row>
    <row r="47245" spans="1:5" ht="16.5">
      <c r="A47245" s="649"/>
      <c r="B47245" s="649"/>
      <c r="E47245" s="649"/>
    </row>
    <row r="47246" spans="1:5" ht="16.5">
      <c r="A47246" s="649"/>
      <c r="B47246" s="649"/>
      <c r="E47246" s="649"/>
    </row>
    <row r="47247" spans="1:5" ht="16.5">
      <c r="A47247" s="649"/>
      <c r="B47247" s="649"/>
      <c r="E47247" s="649"/>
    </row>
    <row r="47248" spans="1:5" ht="16.5">
      <c r="A47248" s="649"/>
      <c r="B47248" s="649"/>
      <c r="E47248" s="649"/>
    </row>
    <row r="47249" spans="1:5" ht="16.5">
      <c r="A47249" s="649"/>
      <c r="B47249" s="649"/>
      <c r="E47249" s="649"/>
    </row>
    <row r="47250" spans="1:5" ht="16.5">
      <c r="A47250" s="649"/>
      <c r="B47250" s="649"/>
      <c r="E47250" s="649"/>
    </row>
    <row r="47251" spans="1:5" ht="16.5">
      <c r="A47251" s="649"/>
      <c r="B47251" s="649"/>
      <c r="E47251" s="649"/>
    </row>
    <row r="47252" spans="1:5" ht="16.5">
      <c r="A47252" s="649"/>
      <c r="B47252" s="649"/>
      <c r="E47252" s="649"/>
    </row>
    <row r="47253" spans="1:5" ht="16.5">
      <c r="A47253" s="649"/>
      <c r="B47253" s="649"/>
      <c r="E47253" s="649"/>
    </row>
    <row r="47254" spans="1:5" ht="16.5">
      <c r="A47254" s="649"/>
      <c r="B47254" s="649"/>
      <c r="E47254" s="649"/>
    </row>
    <row r="47255" spans="1:5" ht="16.5">
      <c r="A47255" s="649"/>
      <c r="B47255" s="649"/>
      <c r="E47255" s="649"/>
    </row>
    <row r="47256" spans="1:5" ht="16.5">
      <c r="A47256" s="649"/>
      <c r="B47256" s="649"/>
      <c r="E47256" s="649"/>
    </row>
    <row r="47257" spans="1:5" ht="16.5">
      <c r="A47257" s="649"/>
      <c r="B47257" s="649"/>
      <c r="E47257" s="649"/>
    </row>
    <row r="47258" spans="1:5" ht="16.5">
      <c r="A47258" s="649"/>
      <c r="B47258" s="649"/>
      <c r="E47258" s="649"/>
    </row>
    <row r="47259" spans="1:5" ht="16.5">
      <c r="A47259" s="649"/>
      <c r="B47259" s="649"/>
      <c r="E47259" s="649"/>
    </row>
    <row r="47260" spans="1:5" ht="16.5">
      <c r="A47260" s="649"/>
      <c r="B47260" s="649"/>
      <c r="E47260" s="649"/>
    </row>
    <row r="47261" spans="1:5" ht="16.5">
      <c r="A47261" s="649"/>
      <c r="B47261" s="649"/>
      <c r="E47261" s="649"/>
    </row>
    <row r="47262" spans="1:5" ht="16.5">
      <c r="A47262" s="649"/>
      <c r="B47262" s="649"/>
      <c r="E47262" s="649"/>
    </row>
    <row r="47263" spans="1:5" ht="16.5">
      <c r="A47263" s="649"/>
      <c r="B47263" s="649"/>
      <c r="E47263" s="649"/>
    </row>
    <row r="47264" spans="1:5" ht="16.5">
      <c r="A47264" s="649"/>
      <c r="B47264" s="649"/>
      <c r="E47264" s="649"/>
    </row>
    <row r="47265" spans="1:5" ht="16.5">
      <c r="A47265" s="649"/>
      <c r="B47265" s="649"/>
      <c r="E47265" s="649"/>
    </row>
    <row r="47266" spans="1:5" ht="16.5">
      <c r="A47266" s="649"/>
      <c r="B47266" s="649"/>
      <c r="E47266" s="649"/>
    </row>
    <row r="47267" spans="1:5" ht="16.5">
      <c r="A47267" s="649"/>
      <c r="B47267" s="649"/>
      <c r="E47267" s="649"/>
    </row>
    <row r="47268" spans="1:5" ht="16.5">
      <c r="A47268" s="649"/>
      <c r="B47268" s="649"/>
      <c r="E47268" s="649"/>
    </row>
    <row r="47269" spans="1:5" ht="16.5">
      <c r="A47269" s="649"/>
      <c r="B47269" s="649"/>
      <c r="E47269" s="649"/>
    </row>
    <row r="47270" spans="1:5" ht="16.5">
      <c r="A47270" s="649"/>
      <c r="B47270" s="649"/>
      <c r="E47270" s="649"/>
    </row>
    <row r="47271" spans="1:5" ht="16.5">
      <c r="A47271" s="649"/>
      <c r="B47271" s="649"/>
      <c r="E47271" s="649"/>
    </row>
    <row r="47272" spans="1:5" ht="16.5">
      <c r="A47272" s="649"/>
      <c r="B47272" s="649"/>
      <c r="E47272" s="649"/>
    </row>
    <row r="47273" spans="1:5" ht="16.5">
      <c r="A47273" s="649"/>
      <c r="B47273" s="649"/>
      <c r="E47273" s="649"/>
    </row>
    <row r="47274" spans="1:5" ht="16.5">
      <c r="A47274" s="649"/>
      <c r="B47274" s="649"/>
      <c r="E47274" s="649"/>
    </row>
    <row r="47275" spans="1:5" ht="16.5">
      <c r="A47275" s="649"/>
      <c r="B47275" s="649"/>
      <c r="E47275" s="649"/>
    </row>
    <row r="47276" spans="1:5" ht="16.5">
      <c r="A47276" s="649"/>
      <c r="B47276" s="649"/>
      <c r="E47276" s="649"/>
    </row>
    <row r="47277" spans="1:5" ht="16.5">
      <c r="A47277" s="649"/>
      <c r="B47277" s="649"/>
      <c r="E47277" s="649"/>
    </row>
    <row r="47278" spans="1:5" ht="16.5">
      <c r="A47278" s="649"/>
      <c r="B47278" s="649"/>
      <c r="E47278" s="649"/>
    </row>
    <row r="47279" spans="1:5" ht="16.5">
      <c r="A47279" s="649"/>
      <c r="B47279" s="649"/>
      <c r="E47279" s="649"/>
    </row>
    <row r="47280" spans="1:5" ht="16.5">
      <c r="A47280" s="649"/>
      <c r="B47280" s="649"/>
      <c r="E47280" s="649"/>
    </row>
    <row r="47281" spans="1:5" ht="16.5">
      <c r="A47281" s="649"/>
      <c r="B47281" s="649"/>
      <c r="E47281" s="649"/>
    </row>
    <row r="47282" spans="1:5" ht="16.5">
      <c r="A47282" s="649"/>
      <c r="B47282" s="649"/>
      <c r="E47282" s="649"/>
    </row>
    <row r="47283" spans="1:5" ht="16.5">
      <c r="A47283" s="649"/>
      <c r="B47283" s="649"/>
      <c r="E47283" s="649"/>
    </row>
    <row r="47284" spans="1:5" ht="16.5">
      <c r="A47284" s="649"/>
      <c r="B47284" s="649"/>
      <c r="E47284" s="649"/>
    </row>
    <row r="47285" spans="1:5" ht="16.5">
      <c r="A47285" s="649"/>
      <c r="B47285" s="649"/>
      <c r="E47285" s="649"/>
    </row>
    <row r="47286" spans="1:5" ht="16.5">
      <c r="A47286" s="649"/>
      <c r="B47286" s="649"/>
      <c r="E47286" s="649"/>
    </row>
    <row r="47287" spans="1:5" ht="16.5">
      <c r="A47287" s="649"/>
      <c r="B47287" s="649"/>
      <c r="E47287" s="649"/>
    </row>
    <row r="47288" spans="1:5" ht="16.5">
      <c r="A47288" s="649"/>
      <c r="B47288" s="649"/>
      <c r="E47288" s="649"/>
    </row>
    <row r="47289" spans="1:5" ht="16.5">
      <c r="A47289" s="649"/>
      <c r="B47289" s="649"/>
      <c r="E47289" s="649"/>
    </row>
    <row r="47290" spans="1:5" ht="16.5">
      <c r="A47290" s="649"/>
      <c r="B47290" s="649"/>
      <c r="E47290" s="649"/>
    </row>
    <row r="47291" spans="1:5" ht="16.5">
      <c r="A47291" s="649"/>
      <c r="B47291" s="649"/>
      <c r="E47291" s="649"/>
    </row>
    <row r="47292" spans="1:5" ht="16.5">
      <c r="A47292" s="649"/>
      <c r="B47292" s="649"/>
      <c r="E47292" s="649"/>
    </row>
    <row r="47293" spans="1:5" ht="16.5">
      <c r="A47293" s="649"/>
      <c r="B47293" s="649"/>
      <c r="E47293" s="649"/>
    </row>
    <row r="47294" spans="1:5" ht="16.5">
      <c r="A47294" s="649"/>
      <c r="B47294" s="649"/>
      <c r="E47294" s="649"/>
    </row>
    <row r="47295" spans="1:5" ht="16.5">
      <c r="A47295" s="649"/>
      <c r="B47295" s="649"/>
      <c r="E47295" s="649"/>
    </row>
    <row r="47296" spans="1:5" ht="16.5">
      <c r="A47296" s="649"/>
      <c r="B47296" s="649"/>
      <c r="E47296" s="649"/>
    </row>
    <row r="47297" spans="1:5" ht="16.5">
      <c r="A47297" s="649"/>
      <c r="B47297" s="649"/>
      <c r="E47297" s="649"/>
    </row>
    <row r="47298" spans="1:5" ht="16.5">
      <c r="A47298" s="649"/>
      <c r="B47298" s="649"/>
      <c r="E47298" s="649"/>
    </row>
    <row r="47299" spans="1:5" ht="16.5">
      <c r="A47299" s="649"/>
      <c r="B47299" s="649"/>
      <c r="E47299" s="649"/>
    </row>
    <row r="47300" spans="1:5" ht="16.5">
      <c r="A47300" s="649"/>
      <c r="B47300" s="649"/>
      <c r="E47300" s="649"/>
    </row>
    <row r="47301" spans="1:5" ht="16.5">
      <c r="A47301" s="649"/>
      <c r="B47301" s="649"/>
      <c r="E47301" s="649"/>
    </row>
    <row r="47302" spans="1:5" ht="16.5">
      <c r="A47302" s="649"/>
      <c r="B47302" s="649"/>
      <c r="E47302" s="649"/>
    </row>
    <row r="47303" spans="1:5" ht="16.5">
      <c r="A47303" s="649"/>
      <c r="B47303" s="649"/>
      <c r="E47303" s="649"/>
    </row>
    <row r="47304" spans="1:5" ht="16.5">
      <c r="A47304" s="649"/>
      <c r="B47304" s="649"/>
      <c r="E47304" s="649"/>
    </row>
    <row r="47305" spans="1:5" ht="16.5">
      <c r="A47305" s="649"/>
      <c r="B47305" s="649"/>
      <c r="E47305" s="649"/>
    </row>
    <row r="47306" spans="1:5" ht="16.5">
      <c r="A47306" s="649"/>
      <c r="B47306" s="649"/>
      <c r="E47306" s="649"/>
    </row>
    <row r="47307" spans="1:5" ht="16.5">
      <c r="A47307" s="649"/>
      <c r="B47307" s="649"/>
      <c r="E47307" s="649"/>
    </row>
    <row r="47308" spans="1:5" ht="16.5">
      <c r="A47308" s="649"/>
      <c r="B47308" s="649"/>
      <c r="E47308" s="649"/>
    </row>
    <row r="47309" spans="1:5" ht="16.5">
      <c r="A47309" s="649"/>
      <c r="B47309" s="649"/>
      <c r="E47309" s="649"/>
    </row>
    <row r="47310" spans="1:5" ht="16.5">
      <c r="A47310" s="649"/>
      <c r="B47310" s="649"/>
      <c r="E47310" s="649"/>
    </row>
    <row r="47311" spans="1:5" ht="16.5">
      <c r="A47311" s="649"/>
      <c r="B47311" s="649"/>
      <c r="E47311" s="649"/>
    </row>
    <row r="47312" spans="1:5" ht="16.5">
      <c r="A47312" s="649"/>
      <c r="B47312" s="649"/>
      <c r="E47312" s="649"/>
    </row>
    <row r="47313" spans="1:5" ht="16.5">
      <c r="A47313" s="649"/>
      <c r="B47313" s="649"/>
      <c r="E47313" s="649"/>
    </row>
    <row r="47314" spans="1:5" ht="16.5">
      <c r="A47314" s="649"/>
      <c r="B47314" s="649"/>
      <c r="E47314" s="649"/>
    </row>
    <row r="47315" spans="1:5" ht="16.5">
      <c r="A47315" s="649"/>
      <c r="B47315" s="649"/>
      <c r="E47315" s="649"/>
    </row>
    <row r="47316" spans="1:5" ht="16.5">
      <c r="A47316" s="649"/>
      <c r="B47316" s="649"/>
      <c r="E47316" s="649"/>
    </row>
    <row r="47317" spans="1:5" ht="16.5">
      <c r="A47317" s="649"/>
      <c r="B47317" s="649"/>
      <c r="E47317" s="649"/>
    </row>
    <row r="47318" spans="1:5" ht="16.5">
      <c r="A47318" s="649"/>
      <c r="B47318" s="649"/>
      <c r="E47318" s="649"/>
    </row>
    <row r="47319" spans="1:5" ht="16.5">
      <c r="A47319" s="649"/>
      <c r="B47319" s="649"/>
      <c r="E47319" s="649"/>
    </row>
    <row r="47320" spans="1:5" ht="16.5">
      <c r="A47320" s="649"/>
      <c r="B47320" s="649"/>
      <c r="E47320" s="649"/>
    </row>
    <row r="47321" spans="1:5" ht="16.5">
      <c r="A47321" s="649"/>
      <c r="B47321" s="649"/>
      <c r="E47321" s="649"/>
    </row>
    <row r="47322" spans="1:5" ht="16.5">
      <c r="A47322" s="649"/>
      <c r="B47322" s="649"/>
      <c r="E47322" s="649"/>
    </row>
    <row r="47323" spans="1:5" ht="16.5">
      <c r="A47323" s="649"/>
      <c r="B47323" s="649"/>
      <c r="E47323" s="649"/>
    </row>
    <row r="47324" spans="1:5" ht="16.5">
      <c r="A47324" s="649"/>
      <c r="B47324" s="649"/>
      <c r="E47324" s="649"/>
    </row>
    <row r="47325" spans="1:5" ht="16.5">
      <c r="A47325" s="649"/>
      <c r="B47325" s="649"/>
      <c r="E47325" s="649"/>
    </row>
    <row r="47326" spans="1:5" ht="16.5">
      <c r="A47326" s="649"/>
      <c r="B47326" s="649"/>
      <c r="E47326" s="649"/>
    </row>
    <row r="47327" spans="1:5" ht="16.5">
      <c r="A47327" s="649"/>
      <c r="B47327" s="649"/>
      <c r="E47327" s="649"/>
    </row>
    <row r="47328" spans="1:5" ht="16.5">
      <c r="A47328" s="649"/>
      <c r="B47328" s="649"/>
      <c r="E47328" s="649"/>
    </row>
    <row r="47329" spans="1:5" ht="16.5">
      <c r="A47329" s="649"/>
      <c r="B47329" s="649"/>
      <c r="E47329" s="649"/>
    </row>
    <row r="47330" spans="1:5" ht="16.5">
      <c r="A47330" s="649"/>
      <c r="B47330" s="649"/>
      <c r="E47330" s="649"/>
    </row>
    <row r="47331" spans="1:5" ht="16.5">
      <c r="A47331" s="649"/>
      <c r="B47331" s="649"/>
      <c r="E47331" s="649"/>
    </row>
    <row r="47332" spans="1:5" ht="16.5">
      <c r="A47332" s="649"/>
      <c r="B47332" s="649"/>
      <c r="E47332" s="649"/>
    </row>
    <row r="47333" spans="1:5" ht="16.5">
      <c r="A47333" s="649"/>
      <c r="B47333" s="649"/>
      <c r="E47333" s="649"/>
    </row>
    <row r="47334" spans="1:5" ht="16.5">
      <c r="A47334" s="649"/>
      <c r="B47334" s="649"/>
      <c r="E47334" s="649"/>
    </row>
    <row r="47335" spans="1:5" ht="16.5">
      <c r="A47335" s="649"/>
      <c r="B47335" s="649"/>
      <c r="E47335" s="649"/>
    </row>
    <row r="47336" spans="1:5" ht="16.5">
      <c r="A47336" s="649"/>
      <c r="B47336" s="649"/>
      <c r="E47336" s="649"/>
    </row>
    <row r="47337" spans="1:5" ht="16.5">
      <c r="A47337" s="649"/>
      <c r="B47337" s="649"/>
      <c r="E47337" s="649"/>
    </row>
    <row r="47338" spans="1:5" ht="16.5">
      <c r="A47338" s="649"/>
      <c r="B47338" s="649"/>
      <c r="E47338" s="649"/>
    </row>
    <row r="47339" spans="1:5" ht="16.5">
      <c r="A47339" s="649"/>
      <c r="B47339" s="649"/>
      <c r="E47339" s="649"/>
    </row>
    <row r="47340" spans="1:5" ht="16.5">
      <c r="A47340" s="649"/>
      <c r="B47340" s="649"/>
      <c r="E47340" s="649"/>
    </row>
    <row r="47341" spans="1:5" ht="16.5">
      <c r="A47341" s="649"/>
      <c r="B47341" s="649"/>
      <c r="E47341" s="649"/>
    </row>
    <row r="47342" spans="1:5" ht="16.5">
      <c r="A47342" s="649"/>
      <c r="B47342" s="649"/>
      <c r="E47342" s="649"/>
    </row>
    <row r="47343" spans="1:5" ht="16.5">
      <c r="A47343" s="649"/>
      <c r="B47343" s="649"/>
      <c r="E47343" s="649"/>
    </row>
    <row r="47344" spans="1:5" ht="16.5">
      <c r="A47344" s="649"/>
      <c r="B47344" s="649"/>
      <c r="E47344" s="649"/>
    </row>
    <row r="47345" spans="1:5" ht="16.5">
      <c r="A47345" s="649"/>
      <c r="B47345" s="649"/>
      <c r="E47345" s="649"/>
    </row>
    <row r="47346" spans="1:5" ht="16.5">
      <c r="A47346" s="649"/>
      <c r="B47346" s="649"/>
      <c r="E47346" s="649"/>
    </row>
    <row r="47347" spans="1:5" ht="16.5">
      <c r="A47347" s="649"/>
      <c r="B47347" s="649"/>
      <c r="E47347" s="649"/>
    </row>
    <row r="47348" spans="1:5" ht="16.5">
      <c r="A47348" s="649"/>
      <c r="B47348" s="649"/>
      <c r="E47348" s="649"/>
    </row>
    <row r="47349" spans="1:5" ht="16.5">
      <c r="A47349" s="649"/>
      <c r="B47349" s="649"/>
      <c r="E47349" s="649"/>
    </row>
    <row r="47350" spans="1:5" ht="16.5">
      <c r="A47350" s="649"/>
      <c r="B47350" s="649"/>
      <c r="E47350" s="649"/>
    </row>
    <row r="47351" spans="1:5" ht="16.5">
      <c r="A47351" s="649"/>
      <c r="B47351" s="649"/>
      <c r="E47351" s="649"/>
    </row>
    <row r="47352" spans="1:5" ht="16.5">
      <c r="A47352" s="649"/>
      <c r="B47352" s="649"/>
      <c r="E47352" s="649"/>
    </row>
    <row r="47353" spans="1:5" ht="16.5">
      <c r="A47353" s="649"/>
      <c r="B47353" s="649"/>
      <c r="E47353" s="649"/>
    </row>
    <row r="47354" spans="1:5" ht="16.5">
      <c r="A47354" s="649"/>
      <c r="B47354" s="649"/>
      <c r="E47354" s="649"/>
    </row>
    <row r="47355" spans="1:5" ht="16.5">
      <c r="A47355" s="649"/>
      <c r="B47355" s="649"/>
      <c r="E47355" s="649"/>
    </row>
    <row r="47356" spans="1:5" ht="16.5">
      <c r="A47356" s="649"/>
      <c r="B47356" s="649"/>
      <c r="E47356" s="649"/>
    </row>
    <row r="47357" spans="1:5" ht="16.5">
      <c r="A47357" s="649"/>
      <c r="B47357" s="649"/>
      <c r="E47357" s="649"/>
    </row>
    <row r="47358" spans="1:5" ht="16.5">
      <c r="A47358" s="649"/>
      <c r="B47358" s="649"/>
      <c r="E47358" s="649"/>
    </row>
    <row r="47359" spans="1:5" ht="16.5">
      <c r="A47359" s="649"/>
      <c r="B47359" s="649"/>
      <c r="E47359" s="649"/>
    </row>
    <row r="47360" spans="1:5" ht="16.5">
      <c r="A47360" s="649"/>
      <c r="B47360" s="649"/>
      <c r="E47360" s="649"/>
    </row>
    <row r="47361" spans="1:5" ht="16.5">
      <c r="A47361" s="649"/>
      <c r="B47361" s="649"/>
      <c r="E47361" s="649"/>
    </row>
    <row r="47362" spans="1:5" ht="16.5">
      <c r="A47362" s="649"/>
      <c r="B47362" s="649"/>
      <c r="E47362" s="649"/>
    </row>
    <row r="47363" spans="1:5" ht="16.5">
      <c r="A47363" s="649"/>
      <c r="B47363" s="649"/>
      <c r="E47363" s="649"/>
    </row>
    <row r="47364" spans="1:5" ht="16.5">
      <c r="A47364" s="649"/>
      <c r="B47364" s="649"/>
      <c r="E47364" s="649"/>
    </row>
    <row r="47365" spans="1:5" ht="16.5">
      <c r="A47365" s="649"/>
      <c r="B47365" s="649"/>
      <c r="E47365" s="649"/>
    </row>
    <row r="47366" spans="1:5" ht="16.5">
      <c r="A47366" s="649"/>
      <c r="B47366" s="649"/>
      <c r="E47366" s="649"/>
    </row>
    <row r="47367" spans="1:5" ht="16.5">
      <c r="A47367" s="649"/>
      <c r="B47367" s="649"/>
      <c r="E47367" s="649"/>
    </row>
    <row r="47368" spans="1:5" ht="16.5">
      <c r="A47368" s="649"/>
      <c r="B47368" s="649"/>
      <c r="E47368" s="649"/>
    </row>
    <row r="47369" spans="1:5" ht="16.5">
      <c r="A47369" s="649"/>
      <c r="B47369" s="649"/>
      <c r="E47369" s="649"/>
    </row>
    <row r="47370" spans="1:5" ht="16.5">
      <c r="A47370" s="649"/>
      <c r="B47370" s="649"/>
      <c r="E47370" s="649"/>
    </row>
    <row r="47371" spans="1:5" ht="16.5">
      <c r="A47371" s="649"/>
      <c r="B47371" s="649"/>
      <c r="E47371" s="649"/>
    </row>
    <row r="47372" spans="1:5" ht="16.5">
      <c r="A47372" s="649"/>
      <c r="B47372" s="649"/>
      <c r="E47372" s="649"/>
    </row>
    <row r="47373" spans="1:5" ht="16.5">
      <c r="A47373" s="649"/>
      <c r="B47373" s="649"/>
      <c r="E47373" s="649"/>
    </row>
    <row r="47374" spans="1:5" ht="16.5">
      <c r="A47374" s="649"/>
      <c r="B47374" s="649"/>
      <c r="E47374" s="649"/>
    </row>
    <row r="47375" spans="1:5" ht="16.5">
      <c r="A47375" s="649"/>
      <c r="B47375" s="649"/>
      <c r="E47375" s="649"/>
    </row>
    <row r="47376" spans="1:5" ht="16.5">
      <c r="A47376" s="649"/>
      <c r="B47376" s="649"/>
      <c r="E47376" s="649"/>
    </row>
    <row r="47377" spans="1:5" ht="16.5">
      <c r="A47377" s="649"/>
      <c r="B47377" s="649"/>
      <c r="E47377" s="649"/>
    </row>
    <row r="47378" spans="1:5" ht="16.5">
      <c r="A47378" s="649"/>
      <c r="B47378" s="649"/>
      <c r="E47378" s="649"/>
    </row>
    <row r="47379" spans="1:5" ht="16.5">
      <c r="A47379" s="649"/>
      <c r="B47379" s="649"/>
      <c r="E47379" s="649"/>
    </row>
    <row r="47380" spans="1:5" ht="16.5">
      <c r="A47380" s="649"/>
      <c r="B47380" s="649"/>
      <c r="E47380" s="649"/>
    </row>
    <row r="47381" spans="1:5" ht="16.5">
      <c r="A47381" s="649"/>
      <c r="B47381" s="649"/>
      <c r="E47381" s="649"/>
    </row>
    <row r="47382" spans="1:5" ht="16.5">
      <c r="A47382" s="649"/>
      <c r="B47382" s="649"/>
      <c r="E47382" s="649"/>
    </row>
    <row r="47383" spans="1:5" ht="16.5">
      <c r="A47383" s="649"/>
      <c r="B47383" s="649"/>
      <c r="E47383" s="649"/>
    </row>
    <row r="47384" spans="1:5" ht="16.5">
      <c r="A47384" s="649"/>
      <c r="B47384" s="649"/>
      <c r="E47384" s="649"/>
    </row>
    <row r="47385" spans="1:5" ht="16.5">
      <c r="A47385" s="649"/>
      <c r="B47385" s="649"/>
      <c r="E47385" s="649"/>
    </row>
    <row r="47386" spans="1:5" ht="16.5">
      <c r="A47386" s="649"/>
      <c r="B47386" s="649"/>
      <c r="E47386" s="649"/>
    </row>
    <row r="47387" spans="1:5" ht="16.5">
      <c r="A47387" s="649"/>
      <c r="B47387" s="649"/>
      <c r="E47387" s="649"/>
    </row>
    <row r="47388" spans="1:5" ht="16.5">
      <c r="A47388" s="649"/>
      <c r="B47388" s="649"/>
      <c r="E47388" s="649"/>
    </row>
    <row r="47389" spans="1:5" ht="16.5">
      <c r="A47389" s="649"/>
      <c r="B47389" s="649"/>
      <c r="E47389" s="649"/>
    </row>
    <row r="47390" spans="1:5" ht="16.5">
      <c r="A47390" s="649"/>
      <c r="B47390" s="649"/>
      <c r="E47390" s="649"/>
    </row>
    <row r="47391" spans="1:5" ht="16.5">
      <c r="A47391" s="649"/>
      <c r="B47391" s="649"/>
      <c r="E47391" s="649"/>
    </row>
    <row r="47392" spans="1:5" ht="16.5">
      <c r="A47392" s="649"/>
      <c r="B47392" s="649"/>
      <c r="E47392" s="649"/>
    </row>
    <row r="47393" spans="1:5" ht="16.5">
      <c r="A47393" s="649"/>
      <c r="B47393" s="649"/>
      <c r="E47393" s="649"/>
    </row>
    <row r="47394" spans="1:5" ht="16.5">
      <c r="A47394" s="649"/>
      <c r="B47394" s="649"/>
      <c r="E47394" s="649"/>
    </row>
    <row r="47395" spans="1:5" ht="16.5">
      <c r="A47395" s="649"/>
      <c r="B47395" s="649"/>
      <c r="E47395" s="649"/>
    </row>
    <row r="47396" spans="1:5" ht="16.5">
      <c r="A47396" s="649"/>
      <c r="B47396" s="649"/>
      <c r="E47396" s="649"/>
    </row>
    <row r="47397" spans="1:5" ht="16.5">
      <c r="A47397" s="649"/>
      <c r="B47397" s="649"/>
      <c r="E47397" s="649"/>
    </row>
    <row r="47398" spans="1:5" ht="16.5">
      <c r="A47398" s="649"/>
      <c r="B47398" s="649"/>
      <c r="E47398" s="649"/>
    </row>
    <row r="47399" spans="1:5" ht="16.5">
      <c r="A47399" s="649"/>
      <c r="B47399" s="649"/>
      <c r="E47399" s="649"/>
    </row>
    <row r="47400" spans="1:5" ht="16.5">
      <c r="A47400" s="649"/>
      <c r="B47400" s="649"/>
      <c r="E47400" s="649"/>
    </row>
    <row r="47401" spans="1:5" ht="16.5">
      <c r="A47401" s="649"/>
      <c r="B47401" s="649"/>
      <c r="E47401" s="649"/>
    </row>
    <row r="47402" spans="1:5" ht="16.5">
      <c r="A47402" s="649"/>
      <c r="B47402" s="649"/>
      <c r="E47402" s="649"/>
    </row>
    <row r="47403" spans="1:5" ht="16.5">
      <c r="A47403" s="649"/>
      <c r="B47403" s="649"/>
      <c r="E47403" s="649"/>
    </row>
    <row r="47404" spans="1:5" ht="16.5">
      <c r="A47404" s="649"/>
      <c r="B47404" s="649"/>
      <c r="E47404" s="649"/>
    </row>
    <row r="47405" spans="1:5" ht="16.5">
      <c r="A47405" s="649"/>
      <c r="B47405" s="649"/>
      <c r="E47405" s="649"/>
    </row>
    <row r="47406" spans="1:5" ht="16.5">
      <c r="A47406" s="649"/>
      <c r="B47406" s="649"/>
      <c r="E47406" s="649"/>
    </row>
    <row r="47407" spans="1:5" ht="16.5">
      <c r="A47407" s="649"/>
      <c r="B47407" s="649"/>
      <c r="E47407" s="649"/>
    </row>
    <row r="47408" spans="1:5" ht="16.5">
      <c r="A47408" s="649"/>
      <c r="B47408" s="649"/>
      <c r="E47408" s="649"/>
    </row>
    <row r="47409" spans="1:5" ht="16.5">
      <c r="A47409" s="649"/>
      <c r="B47409" s="649"/>
      <c r="E47409" s="649"/>
    </row>
    <row r="47410" spans="1:5" ht="16.5">
      <c r="A47410" s="649"/>
      <c r="B47410" s="649"/>
      <c r="E47410" s="649"/>
    </row>
    <row r="47411" spans="1:5" ht="16.5">
      <c r="A47411" s="649"/>
      <c r="B47411" s="649"/>
      <c r="E47411" s="649"/>
    </row>
    <row r="47412" spans="1:5" ht="16.5">
      <c r="A47412" s="649"/>
      <c r="B47412" s="649"/>
      <c r="E47412" s="649"/>
    </row>
    <row r="47413" spans="1:5" ht="16.5">
      <c r="A47413" s="649"/>
      <c r="B47413" s="649"/>
      <c r="E47413" s="649"/>
    </row>
    <row r="47414" spans="1:5" ht="16.5">
      <c r="A47414" s="649"/>
      <c r="B47414" s="649"/>
      <c r="E47414" s="649"/>
    </row>
    <row r="47415" spans="1:5" ht="16.5">
      <c r="A47415" s="649"/>
      <c r="B47415" s="649"/>
      <c r="E47415" s="649"/>
    </row>
    <row r="47416" spans="1:5" ht="16.5">
      <c r="A47416" s="649"/>
      <c r="B47416" s="649"/>
      <c r="E47416" s="649"/>
    </row>
    <row r="47417" spans="1:5" ht="16.5">
      <c r="A47417" s="649"/>
      <c r="B47417" s="649"/>
      <c r="E47417" s="649"/>
    </row>
    <row r="47418" spans="1:5" ht="16.5">
      <c r="A47418" s="649"/>
      <c r="B47418" s="649"/>
      <c r="E47418" s="649"/>
    </row>
    <row r="47419" spans="1:5" ht="16.5">
      <c r="A47419" s="649"/>
      <c r="B47419" s="649"/>
      <c r="E47419" s="649"/>
    </row>
    <row r="47420" spans="1:5" ht="16.5">
      <c r="A47420" s="649"/>
      <c r="B47420" s="649"/>
      <c r="E47420" s="649"/>
    </row>
    <row r="47421" spans="1:5" ht="16.5">
      <c r="A47421" s="649"/>
      <c r="B47421" s="649"/>
      <c r="E47421" s="649"/>
    </row>
    <row r="47422" spans="1:5" ht="16.5">
      <c r="A47422" s="649"/>
      <c r="B47422" s="649"/>
      <c r="E47422" s="649"/>
    </row>
    <row r="47423" spans="1:5" ht="16.5">
      <c r="A47423" s="649"/>
      <c r="B47423" s="649"/>
      <c r="E47423" s="649"/>
    </row>
    <row r="47424" spans="1:5" ht="16.5">
      <c r="A47424" s="649"/>
      <c r="B47424" s="649"/>
      <c r="E47424" s="649"/>
    </row>
    <row r="47425" spans="1:5" ht="16.5">
      <c r="A47425" s="649"/>
      <c r="B47425" s="649"/>
      <c r="E47425" s="649"/>
    </row>
    <row r="47426" spans="1:5" ht="16.5">
      <c r="A47426" s="649"/>
      <c r="B47426" s="649"/>
      <c r="E47426" s="649"/>
    </row>
    <row r="47427" spans="1:5" ht="16.5">
      <c r="A47427" s="649"/>
      <c r="B47427" s="649"/>
      <c r="E47427" s="649"/>
    </row>
    <row r="47428" spans="1:5" ht="16.5">
      <c r="A47428" s="649"/>
      <c r="B47428" s="649"/>
      <c r="E47428" s="649"/>
    </row>
    <row r="47429" spans="1:5" ht="16.5">
      <c r="A47429" s="649"/>
      <c r="B47429" s="649"/>
      <c r="E47429" s="649"/>
    </row>
    <row r="47430" spans="1:5" ht="16.5">
      <c r="A47430" s="649"/>
      <c r="B47430" s="649"/>
      <c r="E47430" s="649"/>
    </row>
    <row r="47431" spans="1:5" ht="16.5">
      <c r="A47431" s="649"/>
      <c r="B47431" s="649"/>
      <c r="E47431" s="649"/>
    </row>
    <row r="47432" spans="1:5" ht="16.5">
      <c r="A47432" s="649"/>
      <c r="B47432" s="649"/>
      <c r="E47432" s="649"/>
    </row>
    <row r="47433" spans="1:5" ht="16.5">
      <c r="A47433" s="649"/>
      <c r="B47433" s="649"/>
      <c r="E47433" s="649"/>
    </row>
    <row r="47434" spans="1:5" ht="16.5">
      <c r="A47434" s="649"/>
      <c r="B47434" s="649"/>
      <c r="E47434" s="649"/>
    </row>
    <row r="47435" spans="1:5" ht="16.5">
      <c r="A47435" s="649"/>
      <c r="B47435" s="649"/>
      <c r="E47435" s="649"/>
    </row>
    <row r="47436" spans="1:5" ht="16.5">
      <c r="A47436" s="649"/>
      <c r="B47436" s="649"/>
      <c r="E47436" s="649"/>
    </row>
    <row r="47437" spans="1:5" ht="16.5">
      <c r="A47437" s="649"/>
      <c r="B47437" s="649"/>
      <c r="E47437" s="649"/>
    </row>
    <row r="47438" spans="1:5" ht="16.5">
      <c r="A47438" s="649"/>
      <c r="B47438" s="649"/>
      <c r="E47438" s="649"/>
    </row>
    <row r="47439" spans="1:5" ht="16.5">
      <c r="A47439" s="649"/>
      <c r="B47439" s="649"/>
      <c r="E47439" s="649"/>
    </row>
    <row r="47440" spans="1:5" ht="16.5">
      <c r="A47440" s="649"/>
      <c r="B47440" s="649"/>
      <c r="E47440" s="649"/>
    </row>
    <row r="47441" spans="1:5" ht="16.5">
      <c r="A47441" s="649"/>
      <c r="B47441" s="649"/>
      <c r="E47441" s="649"/>
    </row>
    <row r="47442" spans="1:5" ht="16.5">
      <c r="A47442" s="649"/>
      <c r="B47442" s="649"/>
      <c r="E47442" s="649"/>
    </row>
    <row r="47443" spans="1:5" ht="16.5">
      <c r="A47443" s="649"/>
      <c r="B47443" s="649"/>
      <c r="E47443" s="649"/>
    </row>
    <row r="47444" spans="1:5" ht="16.5">
      <c r="A47444" s="649"/>
      <c r="B47444" s="649"/>
      <c r="E47444" s="649"/>
    </row>
    <row r="47445" spans="1:5" ht="16.5">
      <c r="A47445" s="649"/>
      <c r="B47445" s="649"/>
      <c r="E47445" s="649"/>
    </row>
    <row r="47446" spans="1:5" ht="16.5">
      <c r="A47446" s="649"/>
      <c r="B47446" s="649"/>
      <c r="E47446" s="649"/>
    </row>
    <row r="47447" spans="1:5" ht="16.5">
      <c r="A47447" s="649"/>
      <c r="B47447" s="649"/>
      <c r="E47447" s="649"/>
    </row>
    <row r="47448" spans="1:5" ht="16.5">
      <c r="A47448" s="649"/>
      <c r="B47448" s="649"/>
      <c r="E47448" s="649"/>
    </row>
    <row r="47449" spans="1:5" ht="16.5">
      <c r="A47449" s="649"/>
      <c r="B47449" s="649"/>
      <c r="E47449" s="649"/>
    </row>
    <row r="47450" spans="1:5" ht="16.5">
      <c r="A47450" s="649"/>
      <c r="B47450" s="649"/>
      <c r="E47450" s="649"/>
    </row>
    <row r="47451" spans="1:5" ht="16.5">
      <c r="A47451" s="649"/>
      <c r="B47451" s="649"/>
      <c r="E47451" s="649"/>
    </row>
    <row r="47452" spans="1:5" ht="16.5">
      <c r="A47452" s="649"/>
      <c r="B47452" s="649"/>
      <c r="E47452" s="649"/>
    </row>
    <row r="47453" spans="1:5" ht="16.5">
      <c r="A47453" s="649"/>
      <c r="B47453" s="649"/>
      <c r="E47453" s="649"/>
    </row>
    <row r="47454" spans="1:5" ht="16.5">
      <c r="A47454" s="649"/>
      <c r="B47454" s="649"/>
      <c r="E47454" s="649"/>
    </row>
    <row r="47455" spans="1:5" ht="16.5">
      <c r="A47455" s="649"/>
      <c r="B47455" s="649"/>
      <c r="E47455" s="649"/>
    </row>
    <row r="47456" spans="1:5" ht="16.5">
      <c r="A47456" s="649"/>
      <c r="B47456" s="649"/>
      <c r="E47456" s="649"/>
    </row>
    <row r="47457" spans="1:5" ht="16.5">
      <c r="A47457" s="649"/>
      <c r="B47457" s="649"/>
      <c r="E47457" s="649"/>
    </row>
    <row r="47458" spans="1:5" ht="16.5">
      <c r="A47458" s="649"/>
      <c r="B47458" s="649"/>
      <c r="E47458" s="649"/>
    </row>
    <row r="47459" spans="1:5" ht="16.5">
      <c r="A47459" s="649"/>
      <c r="B47459" s="649"/>
      <c r="E47459" s="649"/>
    </row>
    <row r="47460" spans="1:5" ht="16.5">
      <c r="A47460" s="649"/>
      <c r="B47460" s="649"/>
      <c r="E47460" s="649"/>
    </row>
    <row r="47461" spans="1:5" ht="16.5">
      <c r="A47461" s="649"/>
      <c r="B47461" s="649"/>
      <c r="E47461" s="649"/>
    </row>
    <row r="47462" spans="1:5" ht="16.5">
      <c r="A47462" s="649"/>
      <c r="B47462" s="649"/>
      <c r="E47462" s="649"/>
    </row>
    <row r="47463" spans="1:5" ht="16.5">
      <c r="A47463" s="649"/>
      <c r="B47463" s="649"/>
      <c r="E47463" s="649"/>
    </row>
    <row r="47464" spans="1:5" ht="16.5">
      <c r="A47464" s="649"/>
      <c r="B47464" s="649"/>
      <c r="E47464" s="649"/>
    </row>
    <row r="47465" spans="1:5" ht="16.5">
      <c r="A47465" s="649"/>
      <c r="B47465" s="649"/>
      <c r="E47465" s="649"/>
    </row>
    <row r="47466" spans="1:5" ht="16.5">
      <c r="A47466" s="649"/>
      <c r="B47466" s="649"/>
      <c r="E47466" s="649"/>
    </row>
    <row r="47467" spans="1:5" ht="16.5">
      <c r="A47467" s="649"/>
      <c r="B47467" s="649"/>
      <c r="E47467" s="649"/>
    </row>
    <row r="47468" spans="1:5" ht="16.5">
      <c r="A47468" s="649"/>
      <c r="B47468" s="649"/>
      <c r="E47468" s="649"/>
    </row>
    <row r="47469" spans="1:5" ht="16.5">
      <c r="A47469" s="649"/>
      <c r="B47469" s="649"/>
      <c r="E47469" s="649"/>
    </row>
    <row r="47470" spans="1:5" ht="16.5">
      <c r="A47470" s="649"/>
      <c r="B47470" s="649"/>
      <c r="E47470" s="649"/>
    </row>
    <row r="47471" spans="1:5" ht="16.5">
      <c r="A47471" s="649"/>
      <c r="B47471" s="649"/>
      <c r="E47471" s="649"/>
    </row>
    <row r="47472" spans="1:5" ht="16.5">
      <c r="A47472" s="649"/>
      <c r="B47472" s="649"/>
      <c r="E47472" s="649"/>
    </row>
    <row r="47473" spans="1:5" ht="16.5">
      <c r="A47473" s="649"/>
      <c r="B47473" s="649"/>
      <c r="E47473" s="649"/>
    </row>
    <row r="47474" spans="1:5" ht="16.5">
      <c r="A47474" s="649"/>
      <c r="B47474" s="649"/>
      <c r="E47474" s="649"/>
    </row>
    <row r="47475" spans="1:5" ht="16.5">
      <c r="A47475" s="649"/>
      <c r="B47475" s="649"/>
      <c r="E47475" s="649"/>
    </row>
    <row r="47476" spans="1:5" ht="16.5">
      <c r="A47476" s="649"/>
      <c r="B47476" s="649"/>
      <c r="E47476" s="649"/>
    </row>
    <row r="47477" spans="1:5" ht="16.5">
      <c r="A47477" s="649"/>
      <c r="B47477" s="649"/>
      <c r="E47477" s="649"/>
    </row>
    <row r="47478" spans="1:5" ht="16.5">
      <c r="A47478" s="649"/>
      <c r="B47478" s="649"/>
      <c r="E47478" s="649"/>
    </row>
    <row r="47479" spans="1:5" ht="16.5">
      <c r="A47479" s="649"/>
      <c r="B47479" s="649"/>
      <c r="E47479" s="649"/>
    </row>
    <row r="47480" spans="1:5" ht="16.5">
      <c r="A47480" s="649"/>
      <c r="B47480" s="649"/>
      <c r="E47480" s="649"/>
    </row>
    <row r="47481" spans="1:5" ht="16.5">
      <c r="A47481" s="649"/>
      <c r="B47481" s="649"/>
      <c r="E47481" s="649"/>
    </row>
    <row r="47482" spans="1:5" ht="16.5">
      <c r="A47482" s="649"/>
      <c r="B47482" s="649"/>
      <c r="E47482" s="649"/>
    </row>
    <row r="47483" spans="1:5" ht="16.5">
      <c r="A47483" s="649"/>
      <c r="B47483" s="649"/>
      <c r="E47483" s="649"/>
    </row>
    <row r="47484" spans="1:5" ht="16.5">
      <c r="A47484" s="649"/>
      <c r="B47484" s="649"/>
      <c r="E47484" s="649"/>
    </row>
    <row r="47485" spans="1:5" ht="16.5">
      <c r="A47485" s="649"/>
      <c r="B47485" s="649"/>
      <c r="E47485" s="649"/>
    </row>
    <row r="47486" spans="1:5" ht="16.5">
      <c r="A47486" s="649"/>
      <c r="B47486" s="649"/>
      <c r="E47486" s="649"/>
    </row>
    <row r="47487" spans="1:5" ht="16.5">
      <c r="A47487" s="649"/>
      <c r="B47487" s="649"/>
      <c r="E47487" s="649"/>
    </row>
    <row r="47488" spans="1:5" ht="16.5">
      <c r="A47488" s="649"/>
      <c r="B47488" s="649"/>
      <c r="E47488" s="649"/>
    </row>
    <row r="47489" spans="1:5" ht="16.5">
      <c r="A47489" s="649"/>
      <c r="B47489" s="649"/>
      <c r="E47489" s="649"/>
    </row>
    <row r="47490" spans="1:5" ht="16.5">
      <c r="A47490" s="649"/>
      <c r="B47490" s="649"/>
      <c r="E47490" s="649"/>
    </row>
    <row r="47491" spans="1:5" ht="16.5">
      <c r="A47491" s="649"/>
      <c r="B47491" s="649"/>
      <c r="E47491" s="649"/>
    </row>
    <row r="47492" spans="1:5" ht="16.5">
      <c r="A47492" s="649"/>
      <c r="B47492" s="649"/>
      <c r="E47492" s="649"/>
    </row>
    <row r="47493" spans="1:5" ht="16.5">
      <c r="A47493" s="649"/>
      <c r="B47493" s="649"/>
      <c r="E47493" s="649"/>
    </row>
    <row r="47494" spans="1:5" ht="16.5">
      <c r="A47494" s="649"/>
      <c r="B47494" s="649"/>
      <c r="E47494" s="649"/>
    </row>
    <row r="47495" spans="1:5" ht="16.5">
      <c r="A47495" s="649"/>
      <c r="B47495" s="649"/>
      <c r="E47495" s="649"/>
    </row>
    <row r="47496" spans="1:5" ht="16.5">
      <c r="A47496" s="649"/>
      <c r="B47496" s="649"/>
      <c r="E47496" s="649"/>
    </row>
    <row r="47497" spans="1:5" ht="16.5">
      <c r="A47497" s="649"/>
      <c r="B47497" s="649"/>
      <c r="E47497" s="649"/>
    </row>
    <row r="47498" spans="1:5" ht="16.5">
      <c r="A47498" s="649"/>
      <c r="B47498" s="649"/>
      <c r="E47498" s="649"/>
    </row>
    <row r="47499" spans="1:5" ht="16.5">
      <c r="A47499" s="649"/>
      <c r="B47499" s="649"/>
      <c r="E47499" s="649"/>
    </row>
    <row r="47500" spans="1:5" ht="16.5">
      <c r="A47500" s="649"/>
      <c r="B47500" s="649"/>
      <c r="E47500" s="649"/>
    </row>
    <row r="47501" spans="1:5" ht="16.5">
      <c r="A47501" s="649"/>
      <c r="B47501" s="649"/>
      <c r="E47501" s="649"/>
    </row>
    <row r="47502" spans="1:5" ht="16.5">
      <c r="A47502" s="649"/>
      <c r="B47502" s="649"/>
      <c r="E47502" s="649"/>
    </row>
    <row r="47503" spans="1:5" ht="16.5">
      <c r="A47503" s="649"/>
      <c r="B47503" s="649"/>
      <c r="E47503" s="649"/>
    </row>
    <row r="47504" spans="1:5" ht="16.5">
      <c r="A47504" s="649"/>
      <c r="B47504" s="649"/>
      <c r="E47504" s="649"/>
    </row>
    <row r="47505" spans="1:5" ht="16.5">
      <c r="A47505" s="649"/>
      <c r="B47505" s="649"/>
      <c r="E47505" s="649"/>
    </row>
    <row r="47506" spans="1:5" ht="16.5">
      <c r="A47506" s="649"/>
      <c r="B47506" s="649"/>
      <c r="E47506" s="649"/>
    </row>
    <row r="47507" spans="1:5" ht="16.5">
      <c r="A47507" s="649"/>
      <c r="B47507" s="649"/>
      <c r="E47507" s="649"/>
    </row>
    <row r="47508" spans="1:5" ht="16.5">
      <c r="A47508" s="649"/>
      <c r="B47508" s="649"/>
      <c r="E47508" s="649"/>
    </row>
    <row r="47509" spans="1:5" ht="16.5">
      <c r="A47509" s="649"/>
      <c r="B47509" s="649"/>
      <c r="E47509" s="649"/>
    </row>
    <row r="47510" spans="1:5" ht="16.5">
      <c r="A47510" s="649"/>
      <c r="B47510" s="649"/>
      <c r="E47510" s="649"/>
    </row>
    <row r="47511" spans="1:5" ht="16.5">
      <c r="A47511" s="649"/>
      <c r="B47511" s="649"/>
      <c r="E47511" s="649"/>
    </row>
    <row r="47512" spans="1:5" ht="16.5">
      <c r="A47512" s="649"/>
      <c r="B47512" s="649"/>
      <c r="E47512" s="649"/>
    </row>
    <row r="47513" spans="1:5" ht="16.5">
      <c r="A47513" s="649"/>
      <c r="B47513" s="649"/>
      <c r="E47513" s="649"/>
    </row>
    <row r="47514" spans="1:5" ht="16.5">
      <c r="A47514" s="649"/>
      <c r="B47514" s="649"/>
      <c r="E47514" s="649"/>
    </row>
    <row r="47515" spans="1:5" ht="16.5">
      <c r="A47515" s="649"/>
      <c r="B47515" s="649"/>
      <c r="E47515" s="649"/>
    </row>
    <row r="47516" spans="1:5" ht="16.5">
      <c r="A47516" s="649"/>
      <c r="B47516" s="649"/>
      <c r="E47516" s="649"/>
    </row>
    <row r="47517" spans="1:5" ht="16.5">
      <c r="A47517" s="649"/>
      <c r="B47517" s="649"/>
      <c r="E47517" s="649"/>
    </row>
    <row r="47518" spans="1:5" ht="16.5">
      <c r="A47518" s="649"/>
      <c r="B47518" s="649"/>
      <c r="E47518" s="649"/>
    </row>
    <row r="47519" spans="1:5" ht="16.5">
      <c r="A47519" s="649"/>
      <c r="B47519" s="649"/>
      <c r="E47519" s="649"/>
    </row>
    <row r="47520" spans="1:5" ht="16.5">
      <c r="A47520" s="649"/>
      <c r="B47520" s="649"/>
      <c r="E47520" s="649"/>
    </row>
    <row r="47521" spans="1:5" ht="16.5">
      <c r="A47521" s="649"/>
      <c r="B47521" s="649"/>
      <c r="E47521" s="649"/>
    </row>
    <row r="47522" spans="1:5" ht="16.5">
      <c r="A47522" s="649"/>
      <c r="B47522" s="649"/>
      <c r="E47522" s="649"/>
    </row>
    <row r="47523" spans="1:5" ht="16.5">
      <c r="A47523" s="649"/>
      <c r="B47523" s="649"/>
      <c r="E47523" s="649"/>
    </row>
    <row r="47524" spans="1:5" ht="16.5">
      <c r="A47524" s="649"/>
      <c r="B47524" s="649"/>
      <c r="E47524" s="649"/>
    </row>
    <row r="47525" spans="1:5" ht="16.5">
      <c r="A47525" s="649"/>
      <c r="B47525" s="649"/>
      <c r="E47525" s="649"/>
    </row>
    <row r="47526" spans="1:5" ht="16.5">
      <c r="A47526" s="649"/>
      <c r="B47526" s="649"/>
      <c r="E47526" s="649"/>
    </row>
    <row r="47527" spans="1:5" ht="16.5">
      <c r="A47527" s="649"/>
      <c r="B47527" s="649"/>
      <c r="E47527" s="649"/>
    </row>
    <row r="47528" spans="1:5" ht="16.5">
      <c r="A47528" s="649"/>
      <c r="B47528" s="649"/>
      <c r="E47528" s="649"/>
    </row>
    <row r="47529" spans="1:5" ht="16.5">
      <c r="A47529" s="649"/>
      <c r="B47529" s="649"/>
      <c r="E47529" s="649"/>
    </row>
    <row r="47530" spans="1:5" ht="16.5">
      <c r="A47530" s="649"/>
      <c r="B47530" s="649"/>
      <c r="E47530" s="649"/>
    </row>
    <row r="47531" spans="1:5" ht="16.5">
      <c r="A47531" s="649"/>
      <c r="B47531" s="649"/>
      <c r="E47531" s="649"/>
    </row>
    <row r="47532" spans="1:5" ht="16.5">
      <c r="A47532" s="649"/>
      <c r="B47532" s="649"/>
      <c r="E47532" s="649"/>
    </row>
    <row r="47533" spans="1:5" ht="16.5">
      <c r="A47533" s="649"/>
      <c r="B47533" s="649"/>
      <c r="E47533" s="649"/>
    </row>
    <row r="47534" spans="1:5" ht="16.5">
      <c r="A47534" s="649"/>
      <c r="B47534" s="649"/>
      <c r="E47534" s="649"/>
    </row>
    <row r="47535" spans="1:5" ht="16.5">
      <c r="A47535" s="649"/>
      <c r="B47535" s="649"/>
      <c r="E47535" s="649"/>
    </row>
    <row r="47536" spans="1:5" ht="16.5">
      <c r="A47536" s="649"/>
      <c r="B47536" s="649"/>
      <c r="E47536" s="649"/>
    </row>
    <row r="47537" spans="1:5" ht="16.5">
      <c r="A47537" s="649"/>
      <c r="B47537" s="649"/>
      <c r="E47537" s="649"/>
    </row>
    <row r="47538" spans="1:5" ht="16.5">
      <c r="A47538" s="649"/>
      <c r="B47538" s="649"/>
      <c r="E47538" s="649"/>
    </row>
    <row r="47539" spans="1:5" ht="16.5">
      <c r="A47539" s="649"/>
      <c r="B47539" s="649"/>
      <c r="E47539" s="649"/>
    </row>
    <row r="47540" spans="1:5" ht="16.5">
      <c r="A47540" s="649"/>
      <c r="B47540" s="649"/>
      <c r="E47540" s="649"/>
    </row>
    <row r="47541" spans="1:5" ht="16.5">
      <c r="A47541" s="649"/>
      <c r="B47541" s="649"/>
      <c r="E47541" s="649"/>
    </row>
    <row r="47542" spans="1:5" ht="16.5">
      <c r="A47542" s="649"/>
      <c r="B47542" s="649"/>
      <c r="E47542" s="649"/>
    </row>
    <row r="47543" spans="1:5" ht="16.5">
      <c r="A47543" s="649"/>
      <c r="B47543" s="649"/>
      <c r="E47543" s="649"/>
    </row>
    <row r="47544" spans="1:5" ht="16.5">
      <c r="A47544" s="649"/>
      <c r="B47544" s="649"/>
      <c r="E47544" s="649"/>
    </row>
    <row r="47545" spans="1:5" ht="16.5">
      <c r="A47545" s="649"/>
      <c r="B47545" s="649"/>
      <c r="E47545" s="649"/>
    </row>
    <row r="47546" spans="1:5" ht="16.5">
      <c r="A47546" s="649"/>
      <c r="B47546" s="649"/>
      <c r="E47546" s="649"/>
    </row>
    <row r="47547" spans="1:5" ht="16.5">
      <c r="A47547" s="649"/>
      <c r="B47547" s="649"/>
      <c r="E47547" s="649"/>
    </row>
    <row r="47548" spans="1:5" ht="16.5">
      <c r="A47548" s="649"/>
      <c r="B47548" s="649"/>
      <c r="E47548" s="649"/>
    </row>
    <row r="47549" spans="1:5" ht="16.5">
      <c r="A47549" s="649"/>
      <c r="B47549" s="649"/>
      <c r="E47549" s="649"/>
    </row>
    <row r="47550" spans="1:5" ht="16.5">
      <c r="A47550" s="649"/>
      <c r="B47550" s="649"/>
      <c r="E47550" s="649"/>
    </row>
    <row r="47551" spans="1:5" ht="16.5">
      <c r="A47551" s="649"/>
      <c r="B47551" s="649"/>
      <c r="E47551" s="649"/>
    </row>
    <row r="47552" spans="1:5" ht="16.5">
      <c r="A47552" s="649"/>
      <c r="B47552" s="649"/>
      <c r="E47552" s="649"/>
    </row>
    <row r="47553" spans="1:5" ht="16.5">
      <c r="A47553" s="649"/>
      <c r="B47553" s="649"/>
      <c r="E47553" s="649"/>
    </row>
    <row r="47554" spans="1:5" ht="16.5">
      <c r="A47554" s="649"/>
      <c r="B47554" s="649"/>
      <c r="E47554" s="649"/>
    </row>
    <row r="47555" spans="1:5" ht="16.5">
      <c r="A47555" s="649"/>
      <c r="B47555" s="649"/>
      <c r="E47555" s="649"/>
    </row>
    <row r="47556" spans="1:5" ht="16.5">
      <c r="A47556" s="649"/>
      <c r="B47556" s="649"/>
      <c r="E47556" s="649"/>
    </row>
    <row r="47557" spans="1:5" ht="16.5">
      <c r="A47557" s="649"/>
      <c r="B47557" s="649"/>
      <c r="E47557" s="649"/>
    </row>
    <row r="47558" spans="1:5" ht="16.5">
      <c r="A47558" s="649"/>
      <c r="B47558" s="649"/>
      <c r="E47558" s="649"/>
    </row>
    <row r="47559" spans="1:5" ht="16.5">
      <c r="A47559" s="649"/>
      <c r="B47559" s="649"/>
      <c r="E47559" s="649"/>
    </row>
    <row r="47560" spans="1:5" ht="16.5">
      <c r="A47560" s="649"/>
      <c r="B47560" s="649"/>
      <c r="E47560" s="649"/>
    </row>
    <row r="47561" spans="1:5" ht="16.5">
      <c r="A47561" s="649"/>
      <c r="B47561" s="649"/>
      <c r="E47561" s="649"/>
    </row>
    <row r="47562" spans="1:5" ht="16.5">
      <c r="A47562" s="649"/>
      <c r="B47562" s="649"/>
      <c r="E47562" s="649"/>
    </row>
    <row r="47563" spans="1:5" ht="16.5">
      <c r="A47563" s="649"/>
      <c r="B47563" s="649"/>
      <c r="E47563" s="649"/>
    </row>
    <row r="47564" spans="1:5" ht="16.5">
      <c r="A47564" s="649"/>
      <c r="B47564" s="649"/>
      <c r="E47564" s="649"/>
    </row>
    <row r="47565" spans="1:5" ht="16.5">
      <c r="A47565" s="649"/>
      <c r="B47565" s="649"/>
      <c r="E47565" s="649"/>
    </row>
    <row r="47566" spans="1:5" ht="16.5">
      <c r="A47566" s="649"/>
      <c r="B47566" s="649"/>
      <c r="E47566" s="649"/>
    </row>
    <row r="47567" spans="1:5" ht="16.5">
      <c r="A47567" s="649"/>
      <c r="B47567" s="649"/>
      <c r="E47567" s="649"/>
    </row>
    <row r="47568" spans="1:5" ht="16.5">
      <c r="A47568" s="649"/>
      <c r="B47568" s="649"/>
      <c r="E47568" s="649"/>
    </row>
    <row r="47569" spans="1:5" ht="16.5">
      <c r="A47569" s="649"/>
      <c r="B47569" s="649"/>
      <c r="E47569" s="649"/>
    </row>
    <row r="47570" spans="1:5" ht="16.5">
      <c r="A47570" s="649"/>
      <c r="B47570" s="649"/>
      <c r="E47570" s="649"/>
    </row>
    <row r="47571" spans="1:5" ht="16.5">
      <c r="A47571" s="649"/>
      <c r="B47571" s="649"/>
      <c r="E47571" s="649"/>
    </row>
    <row r="47572" spans="1:5" ht="16.5">
      <c r="A47572" s="649"/>
      <c r="B47572" s="649"/>
      <c r="E47572" s="649"/>
    </row>
    <row r="47573" spans="1:5" ht="16.5">
      <c r="A47573" s="649"/>
      <c r="B47573" s="649"/>
      <c r="E47573" s="649"/>
    </row>
    <row r="47574" spans="1:5" ht="16.5">
      <c r="A47574" s="649"/>
      <c r="B47574" s="649"/>
      <c r="E47574" s="649"/>
    </row>
    <row r="47575" spans="1:5" ht="16.5">
      <c r="A47575" s="649"/>
      <c r="B47575" s="649"/>
      <c r="E47575" s="649"/>
    </row>
    <row r="47576" spans="1:5" ht="16.5">
      <c r="A47576" s="649"/>
      <c r="B47576" s="649"/>
      <c r="E47576" s="649"/>
    </row>
    <row r="47577" spans="1:5" ht="16.5">
      <c r="A47577" s="649"/>
      <c r="B47577" s="649"/>
      <c r="E47577" s="649"/>
    </row>
    <row r="47578" spans="1:5" ht="16.5">
      <c r="A47578" s="649"/>
      <c r="B47578" s="649"/>
      <c r="E47578" s="649"/>
    </row>
    <row r="47579" spans="1:5" ht="16.5">
      <c r="A47579" s="649"/>
      <c r="B47579" s="649"/>
      <c r="E47579" s="649"/>
    </row>
    <row r="47580" spans="1:5" ht="16.5">
      <c r="A47580" s="649"/>
      <c r="B47580" s="649"/>
      <c r="E47580" s="649"/>
    </row>
    <row r="47581" spans="1:5" ht="16.5">
      <c r="A47581" s="649"/>
      <c r="B47581" s="649"/>
      <c r="E47581" s="649"/>
    </row>
    <row r="47582" spans="1:5" ht="16.5">
      <c r="A47582" s="649"/>
      <c r="B47582" s="649"/>
      <c r="E47582" s="649"/>
    </row>
    <row r="47583" spans="1:5" ht="16.5">
      <c r="A47583" s="649"/>
      <c r="B47583" s="649"/>
      <c r="E47583" s="649"/>
    </row>
    <row r="47584" spans="1:5" ht="16.5">
      <c r="A47584" s="649"/>
      <c r="B47584" s="649"/>
      <c r="E47584" s="649"/>
    </row>
    <row r="47585" spans="1:5" ht="16.5">
      <c r="A47585" s="649"/>
      <c r="B47585" s="649"/>
      <c r="E47585" s="649"/>
    </row>
    <row r="47586" spans="1:5" ht="16.5">
      <c r="A47586" s="649"/>
      <c r="B47586" s="649"/>
      <c r="E47586" s="649"/>
    </row>
    <row r="47587" spans="1:5" ht="16.5">
      <c r="A47587" s="649"/>
      <c r="B47587" s="649"/>
      <c r="E47587" s="649"/>
    </row>
    <row r="47588" spans="1:5" ht="16.5">
      <c r="A47588" s="649"/>
      <c r="B47588" s="649"/>
      <c r="E47588" s="649"/>
    </row>
    <row r="47589" spans="1:5" ht="16.5">
      <c r="A47589" s="649"/>
      <c r="B47589" s="649"/>
      <c r="E47589" s="649"/>
    </row>
    <row r="47590" spans="1:5" ht="16.5">
      <c r="A47590" s="649"/>
      <c r="B47590" s="649"/>
      <c r="E47590" s="649"/>
    </row>
    <row r="47591" spans="1:5" ht="16.5">
      <c r="A47591" s="649"/>
      <c r="B47591" s="649"/>
      <c r="E47591" s="649"/>
    </row>
    <row r="47592" spans="1:5" ht="16.5">
      <c r="A47592" s="649"/>
      <c r="B47592" s="649"/>
      <c r="E47592" s="649"/>
    </row>
    <row r="47593" spans="1:5" ht="16.5">
      <c r="A47593" s="649"/>
      <c r="B47593" s="649"/>
      <c r="E47593" s="649"/>
    </row>
    <row r="47594" spans="1:5" ht="16.5">
      <c r="A47594" s="649"/>
      <c r="B47594" s="649"/>
      <c r="E47594" s="649"/>
    </row>
    <row r="47595" spans="1:5" ht="16.5">
      <c r="A47595" s="649"/>
      <c r="B47595" s="649"/>
      <c r="E47595" s="649"/>
    </row>
    <row r="47596" spans="1:5" ht="16.5">
      <c r="A47596" s="649"/>
      <c r="B47596" s="649"/>
      <c r="E47596" s="649"/>
    </row>
    <row r="47597" spans="1:5" ht="16.5">
      <c r="A47597" s="649"/>
      <c r="B47597" s="649"/>
      <c r="E47597" s="649"/>
    </row>
    <row r="47598" spans="1:5" ht="16.5">
      <c r="A47598" s="649"/>
      <c r="B47598" s="649"/>
      <c r="E47598" s="649"/>
    </row>
    <row r="47599" spans="1:5" ht="16.5">
      <c r="A47599" s="649"/>
      <c r="B47599" s="649"/>
      <c r="E47599" s="649"/>
    </row>
    <row r="47600" spans="1:5" ht="16.5">
      <c r="A47600" s="649"/>
      <c r="B47600" s="649"/>
      <c r="E47600" s="649"/>
    </row>
    <row r="47601" spans="1:5" ht="16.5">
      <c r="A47601" s="649"/>
      <c r="B47601" s="649"/>
      <c r="E47601" s="649"/>
    </row>
    <row r="47602" spans="1:5" ht="16.5">
      <c r="A47602" s="649"/>
      <c r="B47602" s="649"/>
      <c r="E47602" s="649"/>
    </row>
    <row r="47603" spans="1:5" ht="16.5">
      <c r="A47603" s="649"/>
      <c r="B47603" s="649"/>
      <c r="E47603" s="649"/>
    </row>
    <row r="47604" spans="1:5" ht="16.5">
      <c r="A47604" s="649"/>
      <c r="B47604" s="649"/>
      <c r="E47604" s="649"/>
    </row>
    <row r="47605" spans="1:5" ht="16.5">
      <c r="A47605" s="649"/>
      <c r="B47605" s="649"/>
      <c r="E47605" s="649"/>
    </row>
    <row r="47606" spans="1:5" ht="16.5">
      <c r="A47606" s="649"/>
      <c r="B47606" s="649"/>
      <c r="E47606" s="649"/>
    </row>
    <row r="47607" spans="1:5" ht="16.5">
      <c r="A47607" s="649"/>
      <c r="B47607" s="649"/>
      <c r="E47607" s="649"/>
    </row>
    <row r="47608" spans="1:5" ht="16.5">
      <c r="A47608" s="649"/>
      <c r="B47608" s="649"/>
      <c r="E47608" s="649"/>
    </row>
    <row r="47609" spans="1:5" ht="16.5">
      <c r="A47609" s="649"/>
      <c r="B47609" s="649"/>
      <c r="E47609" s="649"/>
    </row>
    <row r="47610" spans="1:5" ht="16.5">
      <c r="A47610" s="649"/>
      <c r="B47610" s="649"/>
      <c r="E47610" s="649"/>
    </row>
    <row r="47611" spans="1:5" ht="16.5">
      <c r="A47611" s="649"/>
      <c r="B47611" s="649"/>
      <c r="E47611" s="649"/>
    </row>
    <row r="47612" spans="1:5" ht="16.5">
      <c r="A47612" s="649"/>
      <c r="B47612" s="649"/>
      <c r="E47612" s="649"/>
    </row>
    <row r="47613" spans="1:5" ht="16.5">
      <c r="A47613" s="649"/>
      <c r="B47613" s="649"/>
      <c r="E47613" s="649"/>
    </row>
    <row r="47614" spans="1:5" ht="16.5">
      <c r="A47614" s="649"/>
      <c r="B47614" s="649"/>
      <c r="E47614" s="649"/>
    </row>
    <row r="47615" spans="1:5" ht="16.5">
      <c r="A47615" s="649"/>
      <c r="B47615" s="649"/>
      <c r="E47615" s="649"/>
    </row>
    <row r="47616" spans="1:5" ht="16.5">
      <c r="A47616" s="649"/>
      <c r="B47616" s="649"/>
      <c r="E47616" s="649"/>
    </row>
    <row r="47617" spans="1:5" ht="16.5">
      <c r="A47617" s="649"/>
      <c r="B47617" s="649"/>
      <c r="E47617" s="649"/>
    </row>
    <row r="47618" spans="1:5" ht="16.5">
      <c r="A47618" s="649"/>
      <c r="B47618" s="649"/>
      <c r="E47618" s="649"/>
    </row>
    <row r="47619" spans="1:5" ht="16.5">
      <c r="A47619" s="649"/>
      <c r="B47619" s="649"/>
      <c r="E47619" s="649"/>
    </row>
    <row r="47620" spans="1:5" ht="16.5">
      <c r="A47620" s="649"/>
      <c r="B47620" s="649"/>
      <c r="E47620" s="649"/>
    </row>
    <row r="47621" spans="1:5" ht="16.5">
      <c r="A47621" s="649"/>
      <c r="B47621" s="649"/>
      <c r="E47621" s="649"/>
    </row>
    <row r="47622" spans="1:5" ht="16.5">
      <c r="A47622" s="649"/>
      <c r="B47622" s="649"/>
      <c r="E47622" s="649"/>
    </row>
    <row r="47623" spans="1:5" ht="16.5">
      <c r="A47623" s="649"/>
      <c r="B47623" s="649"/>
      <c r="E47623" s="649"/>
    </row>
    <row r="47624" spans="1:5" ht="16.5">
      <c r="A47624" s="649"/>
      <c r="B47624" s="649"/>
      <c r="E47624" s="649"/>
    </row>
    <row r="47625" spans="1:5" ht="16.5">
      <c r="A47625" s="649"/>
      <c r="B47625" s="649"/>
      <c r="E47625" s="649"/>
    </row>
    <row r="47626" spans="1:5" ht="16.5">
      <c r="A47626" s="649"/>
      <c r="B47626" s="649"/>
      <c r="E47626" s="649"/>
    </row>
    <row r="47627" spans="1:5" ht="16.5">
      <c r="A47627" s="649"/>
      <c r="B47627" s="649"/>
      <c r="E47627" s="649"/>
    </row>
    <row r="47628" spans="1:5" ht="16.5">
      <c r="A47628" s="649"/>
      <c r="B47628" s="649"/>
      <c r="E47628" s="649"/>
    </row>
    <row r="47629" spans="1:5" ht="16.5">
      <c r="A47629" s="649"/>
      <c r="B47629" s="649"/>
      <c r="E47629" s="649"/>
    </row>
    <row r="47630" spans="1:5" ht="16.5">
      <c r="A47630" s="649"/>
      <c r="B47630" s="649"/>
      <c r="E47630" s="649"/>
    </row>
    <row r="47631" spans="1:5" ht="16.5">
      <c r="A47631" s="649"/>
      <c r="B47631" s="649"/>
      <c r="E47631" s="649"/>
    </row>
    <row r="47632" spans="1:5" ht="16.5">
      <c r="A47632" s="649"/>
      <c r="B47632" s="649"/>
      <c r="E47632" s="649"/>
    </row>
    <row r="47633" spans="1:5" ht="16.5">
      <c r="A47633" s="649"/>
      <c r="B47633" s="649"/>
      <c r="E47633" s="649"/>
    </row>
    <row r="47634" spans="1:5" ht="16.5">
      <c r="A47634" s="649"/>
      <c r="B47634" s="649"/>
      <c r="E47634" s="649"/>
    </row>
    <row r="47635" spans="1:5" ht="16.5">
      <c r="A47635" s="649"/>
      <c r="B47635" s="649"/>
      <c r="E47635" s="649"/>
    </row>
    <row r="47636" spans="1:5" ht="16.5">
      <c r="A47636" s="649"/>
      <c r="B47636" s="649"/>
      <c r="E47636" s="649"/>
    </row>
    <row r="47637" spans="1:5" ht="16.5">
      <c r="A47637" s="649"/>
      <c r="B47637" s="649"/>
      <c r="E47637" s="649"/>
    </row>
    <row r="47638" spans="1:5" ht="16.5">
      <c r="A47638" s="649"/>
      <c r="B47638" s="649"/>
      <c r="E47638" s="649"/>
    </row>
    <row r="47639" spans="1:5" ht="16.5">
      <c r="A47639" s="649"/>
      <c r="B47639" s="649"/>
      <c r="E47639" s="649"/>
    </row>
    <row r="47640" spans="1:5" ht="16.5">
      <c r="A47640" s="649"/>
      <c r="B47640" s="649"/>
      <c r="E47640" s="649"/>
    </row>
    <row r="47641" spans="1:5" ht="16.5">
      <c r="A47641" s="649"/>
      <c r="B47641" s="649"/>
      <c r="E47641" s="649"/>
    </row>
    <row r="47642" spans="1:5" ht="16.5">
      <c r="A47642" s="649"/>
      <c r="B47642" s="649"/>
      <c r="E47642" s="649"/>
    </row>
    <row r="47643" spans="1:5" ht="16.5">
      <c r="A47643" s="649"/>
      <c r="B47643" s="649"/>
      <c r="E47643" s="649"/>
    </row>
    <row r="47644" spans="1:5" ht="16.5">
      <c r="A47644" s="649"/>
      <c r="B47644" s="649"/>
      <c r="E47644" s="649"/>
    </row>
    <row r="47645" spans="1:5" ht="16.5">
      <c r="A47645" s="649"/>
      <c r="B47645" s="649"/>
      <c r="E47645" s="649"/>
    </row>
    <row r="47646" spans="1:5" ht="16.5">
      <c r="A47646" s="649"/>
      <c r="B47646" s="649"/>
      <c r="E47646" s="649"/>
    </row>
    <row r="47647" spans="1:5" ht="16.5">
      <c r="A47647" s="649"/>
      <c r="B47647" s="649"/>
      <c r="E47647" s="649"/>
    </row>
    <row r="47648" spans="1:5" ht="16.5">
      <c r="A47648" s="649"/>
      <c r="B47648" s="649"/>
      <c r="E47648" s="649"/>
    </row>
    <row r="47649" spans="1:5" ht="16.5">
      <c r="A47649" s="649"/>
      <c r="B47649" s="649"/>
      <c r="E47649" s="649"/>
    </row>
    <row r="47650" spans="1:5" ht="16.5">
      <c r="A47650" s="649"/>
      <c r="B47650" s="649"/>
      <c r="E47650" s="649"/>
    </row>
    <row r="47651" spans="1:5" ht="16.5">
      <c r="A47651" s="649"/>
      <c r="B47651" s="649"/>
      <c r="E47651" s="649"/>
    </row>
    <row r="47652" spans="1:5" ht="16.5">
      <c r="A47652" s="649"/>
      <c r="B47652" s="649"/>
      <c r="E47652" s="649"/>
    </row>
    <row r="47653" spans="1:5" ht="16.5">
      <c r="A47653" s="649"/>
      <c r="B47653" s="649"/>
      <c r="E47653" s="649"/>
    </row>
    <row r="47654" spans="1:5" ht="16.5">
      <c r="A47654" s="649"/>
      <c r="B47654" s="649"/>
      <c r="E47654" s="649"/>
    </row>
    <row r="47655" spans="1:5" ht="16.5">
      <c r="A47655" s="649"/>
      <c r="B47655" s="649"/>
      <c r="E47655" s="649"/>
    </row>
    <row r="47656" spans="1:5" ht="16.5">
      <c r="A47656" s="649"/>
      <c r="B47656" s="649"/>
      <c r="E47656" s="649"/>
    </row>
    <row r="47657" spans="1:5" ht="16.5">
      <c r="A47657" s="649"/>
      <c r="B47657" s="649"/>
      <c r="E47657" s="649"/>
    </row>
    <row r="47658" spans="1:5" ht="16.5">
      <c r="A47658" s="649"/>
      <c r="B47658" s="649"/>
      <c r="E47658" s="649"/>
    </row>
    <row r="47659" spans="1:5" ht="16.5">
      <c r="A47659" s="649"/>
      <c r="B47659" s="649"/>
      <c r="E47659" s="649"/>
    </row>
    <row r="47660" spans="1:5" ht="16.5">
      <c r="A47660" s="649"/>
      <c r="B47660" s="649"/>
      <c r="E47660" s="649"/>
    </row>
    <row r="47661" spans="1:5" ht="16.5">
      <c r="A47661" s="649"/>
      <c r="B47661" s="649"/>
      <c r="E47661" s="649"/>
    </row>
    <row r="47662" spans="1:5" ht="16.5">
      <c r="A47662" s="649"/>
      <c r="B47662" s="649"/>
      <c r="E47662" s="649"/>
    </row>
    <row r="47663" spans="1:5" ht="16.5">
      <c r="A47663" s="649"/>
      <c r="B47663" s="649"/>
      <c r="E47663" s="649"/>
    </row>
    <row r="47664" spans="1:5" ht="16.5">
      <c r="A47664" s="649"/>
      <c r="B47664" s="649"/>
      <c r="E47664" s="649"/>
    </row>
    <row r="47665" spans="1:5" ht="16.5">
      <c r="A47665" s="649"/>
      <c r="B47665" s="649"/>
      <c r="E47665" s="649"/>
    </row>
    <row r="47666" spans="1:5" ht="16.5">
      <c r="A47666" s="649"/>
      <c r="B47666" s="649"/>
      <c r="E47666" s="649"/>
    </row>
    <row r="47667" spans="1:5" ht="16.5">
      <c r="A47667" s="649"/>
      <c r="B47667" s="649"/>
      <c r="E47667" s="649"/>
    </row>
    <row r="47668" spans="1:5" ht="16.5">
      <c r="A47668" s="649"/>
      <c r="B47668" s="649"/>
      <c r="E47668" s="649"/>
    </row>
    <row r="47669" spans="1:5" ht="16.5">
      <c r="A47669" s="649"/>
      <c r="B47669" s="649"/>
      <c r="E47669" s="649"/>
    </row>
    <row r="47670" spans="1:5" ht="16.5">
      <c r="A47670" s="649"/>
      <c r="B47670" s="649"/>
      <c r="E47670" s="649"/>
    </row>
    <row r="47671" spans="1:5" ht="16.5">
      <c r="A47671" s="649"/>
      <c r="B47671" s="649"/>
      <c r="E47671" s="649"/>
    </row>
    <row r="47672" spans="1:5" ht="16.5">
      <c r="A47672" s="649"/>
      <c r="B47672" s="649"/>
      <c r="E47672" s="649"/>
    </row>
    <row r="47673" spans="1:5" ht="16.5">
      <c r="A47673" s="649"/>
      <c r="B47673" s="649"/>
      <c r="E47673" s="649"/>
    </row>
    <row r="47674" spans="1:5" ht="16.5">
      <c r="A47674" s="649"/>
      <c r="B47674" s="649"/>
      <c r="E47674" s="649"/>
    </row>
    <row r="47675" spans="1:5" ht="16.5">
      <c r="A47675" s="649"/>
      <c r="B47675" s="649"/>
      <c r="E47675" s="649"/>
    </row>
    <row r="47676" spans="1:5" ht="16.5">
      <c r="A47676" s="649"/>
      <c r="B47676" s="649"/>
      <c r="E47676" s="649"/>
    </row>
    <row r="47677" spans="1:5" ht="16.5">
      <c r="A47677" s="649"/>
      <c r="B47677" s="649"/>
      <c r="E47677" s="649"/>
    </row>
    <row r="47678" spans="1:5" ht="16.5">
      <c r="A47678" s="649"/>
      <c r="B47678" s="649"/>
      <c r="E47678" s="649"/>
    </row>
    <row r="47679" spans="1:5" ht="16.5">
      <c r="A47679" s="649"/>
      <c r="B47679" s="649"/>
      <c r="E47679" s="649"/>
    </row>
    <row r="47680" spans="1:5" ht="16.5">
      <c r="A47680" s="649"/>
      <c r="B47680" s="649"/>
      <c r="E47680" s="649"/>
    </row>
    <row r="47681" spans="1:5" ht="16.5">
      <c r="A47681" s="649"/>
      <c r="B47681" s="649"/>
      <c r="E47681" s="649"/>
    </row>
    <row r="47682" spans="1:5" ht="16.5">
      <c r="A47682" s="649"/>
      <c r="B47682" s="649"/>
      <c r="E47682" s="649"/>
    </row>
    <row r="47683" spans="1:5" ht="16.5">
      <c r="A47683" s="649"/>
      <c r="B47683" s="649"/>
      <c r="E47683" s="649"/>
    </row>
    <row r="47684" spans="1:5" ht="16.5">
      <c r="A47684" s="649"/>
      <c r="B47684" s="649"/>
      <c r="E47684" s="649"/>
    </row>
    <row r="47685" spans="1:5" ht="16.5">
      <c r="A47685" s="649"/>
      <c r="B47685" s="649"/>
      <c r="E47685" s="649"/>
    </row>
    <row r="47686" spans="1:5" ht="16.5">
      <c r="A47686" s="649"/>
      <c r="B47686" s="649"/>
      <c r="E47686" s="649"/>
    </row>
    <row r="47687" spans="1:5" ht="16.5">
      <c r="A47687" s="649"/>
      <c r="B47687" s="649"/>
      <c r="E47687" s="649"/>
    </row>
    <row r="47688" spans="1:5" ht="16.5">
      <c r="A47688" s="649"/>
      <c r="B47688" s="649"/>
      <c r="E47688" s="649"/>
    </row>
    <row r="47689" spans="1:5" ht="16.5">
      <c r="A47689" s="649"/>
      <c r="B47689" s="649"/>
      <c r="E47689" s="649"/>
    </row>
    <row r="47690" spans="1:5" ht="16.5">
      <c r="A47690" s="649"/>
      <c r="B47690" s="649"/>
      <c r="E47690" s="649"/>
    </row>
    <row r="47691" spans="1:5" ht="16.5">
      <c r="A47691" s="649"/>
      <c r="B47691" s="649"/>
      <c r="E47691" s="649"/>
    </row>
    <row r="47692" spans="1:5" ht="16.5">
      <c r="A47692" s="649"/>
      <c r="B47692" s="649"/>
      <c r="E47692" s="649"/>
    </row>
    <row r="47693" spans="1:5" ht="16.5">
      <c r="A47693" s="649"/>
      <c r="B47693" s="649"/>
      <c r="E47693" s="649"/>
    </row>
    <row r="47694" spans="1:5" ht="16.5">
      <c r="A47694" s="649"/>
      <c r="B47694" s="649"/>
      <c r="E47694" s="649"/>
    </row>
    <row r="47695" spans="1:5" ht="16.5">
      <c r="A47695" s="649"/>
      <c r="B47695" s="649"/>
      <c r="E47695" s="649"/>
    </row>
    <row r="47696" spans="1:5" ht="16.5">
      <c r="A47696" s="649"/>
      <c r="B47696" s="649"/>
      <c r="E47696" s="649"/>
    </row>
    <row r="47697" spans="1:5" ht="16.5">
      <c r="A47697" s="649"/>
      <c r="B47697" s="649"/>
      <c r="E47697" s="649"/>
    </row>
    <row r="47698" spans="1:5" ht="16.5">
      <c r="A47698" s="649"/>
      <c r="B47698" s="649"/>
      <c r="E47698" s="649"/>
    </row>
    <row r="47699" spans="1:5" ht="16.5">
      <c r="A47699" s="649"/>
      <c r="B47699" s="649"/>
      <c r="E47699" s="649"/>
    </row>
    <row r="47700" spans="1:5" ht="16.5">
      <c r="A47700" s="649"/>
      <c r="B47700" s="649"/>
      <c r="E47700" s="649"/>
    </row>
    <row r="47701" spans="1:5" ht="16.5">
      <c r="A47701" s="649"/>
      <c r="B47701" s="649"/>
      <c r="E47701" s="649"/>
    </row>
    <row r="47702" spans="1:5" ht="16.5">
      <c r="A47702" s="649"/>
      <c r="B47702" s="649"/>
      <c r="E47702" s="649"/>
    </row>
    <row r="47703" spans="1:5" ht="16.5">
      <c r="A47703" s="649"/>
      <c r="B47703" s="649"/>
      <c r="E47703" s="649"/>
    </row>
    <row r="47704" spans="1:5" ht="16.5">
      <c r="A47704" s="649"/>
      <c r="B47704" s="649"/>
      <c r="E47704" s="649"/>
    </row>
    <row r="47705" spans="1:5" ht="16.5">
      <c r="A47705" s="649"/>
      <c r="B47705" s="649"/>
      <c r="E47705" s="649"/>
    </row>
    <row r="47706" spans="1:5" ht="16.5">
      <c r="A47706" s="649"/>
      <c r="B47706" s="649"/>
      <c r="E47706" s="649"/>
    </row>
    <row r="47707" spans="1:5" ht="16.5">
      <c r="A47707" s="649"/>
      <c r="B47707" s="649"/>
      <c r="E47707" s="649"/>
    </row>
    <row r="47708" spans="1:5" ht="16.5">
      <c r="A47708" s="649"/>
      <c r="B47708" s="649"/>
      <c r="E47708" s="649"/>
    </row>
    <row r="47709" spans="1:5" ht="16.5">
      <c r="A47709" s="649"/>
      <c r="B47709" s="649"/>
      <c r="E47709" s="649"/>
    </row>
    <row r="47710" spans="1:5" ht="16.5">
      <c r="A47710" s="649"/>
      <c r="B47710" s="649"/>
      <c r="E47710" s="649"/>
    </row>
    <row r="47711" spans="1:5" ht="16.5">
      <c r="A47711" s="649"/>
      <c r="B47711" s="649"/>
      <c r="E47711" s="649"/>
    </row>
    <row r="47712" spans="1:5" ht="16.5">
      <c r="A47712" s="649"/>
      <c r="B47712" s="649"/>
      <c r="E47712" s="649"/>
    </row>
    <row r="47713" spans="1:5" ht="16.5">
      <c r="A47713" s="649"/>
      <c r="B47713" s="649"/>
      <c r="E47713" s="649"/>
    </row>
    <row r="47714" spans="1:5" ht="16.5">
      <c r="A47714" s="649"/>
      <c r="B47714" s="649"/>
      <c r="E47714" s="649"/>
    </row>
    <row r="47715" spans="1:5" ht="16.5">
      <c r="A47715" s="649"/>
      <c r="B47715" s="649"/>
      <c r="E47715" s="649"/>
    </row>
    <row r="47716" spans="1:5" ht="16.5">
      <c r="A47716" s="649"/>
      <c r="B47716" s="649"/>
      <c r="E47716" s="649"/>
    </row>
    <row r="47717" spans="1:5" ht="16.5">
      <c r="A47717" s="649"/>
      <c r="B47717" s="649"/>
      <c r="E47717" s="649"/>
    </row>
    <row r="47718" spans="1:5" ht="16.5">
      <c r="A47718" s="649"/>
      <c r="B47718" s="649"/>
      <c r="E47718" s="649"/>
    </row>
    <row r="47719" spans="1:5" ht="16.5">
      <c r="A47719" s="649"/>
      <c r="B47719" s="649"/>
      <c r="E47719" s="649"/>
    </row>
    <row r="47720" spans="1:5" ht="16.5">
      <c r="A47720" s="649"/>
      <c r="B47720" s="649"/>
      <c r="E47720" s="649"/>
    </row>
    <row r="47721" spans="1:5" ht="16.5">
      <c r="A47721" s="649"/>
      <c r="B47721" s="649"/>
      <c r="E47721" s="649"/>
    </row>
    <row r="47722" spans="1:5" ht="16.5">
      <c r="A47722" s="649"/>
      <c r="B47722" s="649"/>
      <c r="E47722" s="649"/>
    </row>
    <row r="47723" spans="1:5" ht="16.5">
      <c r="A47723" s="649"/>
      <c r="B47723" s="649"/>
      <c r="E47723" s="649"/>
    </row>
    <row r="47724" spans="1:5" ht="16.5">
      <c r="A47724" s="649"/>
      <c r="B47724" s="649"/>
      <c r="E47724" s="649"/>
    </row>
    <row r="47725" spans="1:5" ht="16.5">
      <c r="A47725" s="649"/>
      <c r="B47725" s="649"/>
      <c r="E47725" s="649"/>
    </row>
    <row r="47726" spans="1:5" ht="16.5">
      <c r="A47726" s="649"/>
      <c r="B47726" s="649"/>
      <c r="E47726" s="649"/>
    </row>
    <row r="47727" spans="1:5" ht="16.5">
      <c r="A47727" s="649"/>
      <c r="B47727" s="649"/>
      <c r="E47727" s="649"/>
    </row>
    <row r="47728" spans="1:5" ht="16.5">
      <c r="A47728" s="649"/>
      <c r="B47728" s="649"/>
      <c r="E47728" s="649"/>
    </row>
    <row r="47729" spans="1:5" ht="16.5">
      <c r="A47729" s="649"/>
      <c r="B47729" s="649"/>
      <c r="E47729" s="649"/>
    </row>
    <row r="47730" spans="1:5" ht="16.5">
      <c r="A47730" s="649"/>
      <c r="B47730" s="649"/>
      <c r="E47730" s="649"/>
    </row>
    <row r="47731" spans="1:5" ht="16.5">
      <c r="A47731" s="649"/>
      <c r="B47731" s="649"/>
      <c r="E47731" s="649"/>
    </row>
    <row r="47732" spans="1:5" ht="16.5">
      <c r="A47732" s="649"/>
      <c r="B47732" s="649"/>
      <c r="E47732" s="649"/>
    </row>
    <row r="47733" spans="1:5" ht="16.5">
      <c r="A47733" s="649"/>
      <c r="B47733" s="649"/>
      <c r="E47733" s="649"/>
    </row>
    <row r="47734" spans="1:5" ht="16.5">
      <c r="A47734" s="649"/>
      <c r="B47734" s="649"/>
      <c r="E47734" s="649"/>
    </row>
    <row r="47735" spans="1:5" ht="16.5">
      <c r="A47735" s="649"/>
      <c r="B47735" s="649"/>
      <c r="E47735" s="649"/>
    </row>
    <row r="47736" spans="1:5" ht="16.5">
      <c r="A47736" s="649"/>
      <c r="B47736" s="649"/>
      <c r="E47736" s="649"/>
    </row>
    <row r="47737" spans="1:5" ht="16.5">
      <c r="A47737" s="649"/>
      <c r="B47737" s="649"/>
      <c r="E47737" s="649"/>
    </row>
    <row r="47738" spans="1:5" ht="16.5">
      <c r="A47738" s="649"/>
      <c r="B47738" s="649"/>
      <c r="E47738" s="649"/>
    </row>
    <row r="47739" spans="1:5" ht="16.5">
      <c r="A47739" s="649"/>
      <c r="B47739" s="649"/>
      <c r="E47739" s="649"/>
    </row>
    <row r="47740" spans="1:5" ht="16.5">
      <c r="A47740" s="649"/>
      <c r="B47740" s="649"/>
      <c r="E47740" s="649"/>
    </row>
    <row r="47741" spans="1:5" ht="16.5">
      <c r="A47741" s="649"/>
      <c r="B47741" s="649"/>
      <c r="E47741" s="649"/>
    </row>
    <row r="47742" spans="1:5" ht="16.5">
      <c r="A47742" s="649"/>
      <c r="B47742" s="649"/>
      <c r="E47742" s="649"/>
    </row>
    <row r="47743" spans="1:5" ht="16.5">
      <c r="A47743" s="649"/>
      <c r="B47743" s="649"/>
      <c r="E47743" s="649"/>
    </row>
    <row r="47744" spans="1:5" ht="16.5">
      <c r="A47744" s="649"/>
      <c r="B47744" s="649"/>
      <c r="E47744" s="649"/>
    </row>
    <row r="47745" spans="1:5" ht="16.5">
      <c r="A47745" s="649"/>
      <c r="B47745" s="649"/>
      <c r="E47745" s="649"/>
    </row>
    <row r="47746" spans="1:5" ht="16.5">
      <c r="A47746" s="649"/>
      <c r="B47746" s="649"/>
      <c r="E47746" s="649"/>
    </row>
    <row r="47747" spans="1:5" ht="16.5">
      <c r="A47747" s="649"/>
      <c r="B47747" s="649"/>
      <c r="E47747" s="649"/>
    </row>
    <row r="47748" spans="1:5" ht="16.5">
      <c r="A47748" s="649"/>
      <c r="B47748" s="649"/>
      <c r="E47748" s="649"/>
    </row>
    <row r="47749" spans="1:5" ht="16.5">
      <c r="A47749" s="649"/>
      <c r="B47749" s="649"/>
      <c r="E47749" s="649"/>
    </row>
    <row r="47750" spans="1:5" ht="16.5">
      <c r="A47750" s="649"/>
      <c r="B47750" s="649"/>
      <c r="E47750" s="649"/>
    </row>
    <row r="47751" spans="1:5" ht="16.5">
      <c r="A47751" s="649"/>
      <c r="B47751" s="649"/>
      <c r="E47751" s="649"/>
    </row>
    <row r="47752" spans="1:5" ht="16.5">
      <c r="A47752" s="649"/>
      <c r="B47752" s="649"/>
      <c r="E47752" s="649"/>
    </row>
    <row r="47753" spans="1:5" ht="16.5">
      <c r="A47753" s="649"/>
      <c r="B47753" s="649"/>
      <c r="E47753" s="649"/>
    </row>
    <row r="47754" spans="1:5" ht="16.5">
      <c r="A47754" s="649"/>
      <c r="B47754" s="649"/>
      <c r="E47754" s="649"/>
    </row>
    <row r="47755" spans="1:5" ht="16.5">
      <c r="A47755" s="649"/>
      <c r="B47755" s="649"/>
      <c r="E47755" s="649"/>
    </row>
    <row r="47756" spans="1:5" ht="16.5">
      <c r="A47756" s="649"/>
      <c r="B47756" s="649"/>
      <c r="E47756" s="649"/>
    </row>
    <row r="47757" spans="1:5" ht="16.5">
      <c r="A47757" s="649"/>
      <c r="B47757" s="649"/>
      <c r="E47757" s="649"/>
    </row>
    <row r="47758" spans="1:5" ht="16.5">
      <c r="A47758" s="649"/>
      <c r="B47758" s="649"/>
      <c r="E47758" s="649"/>
    </row>
    <row r="47759" spans="1:5" ht="16.5">
      <c r="A47759" s="649"/>
      <c r="B47759" s="649"/>
      <c r="E47759" s="649"/>
    </row>
    <row r="47760" spans="1:5" ht="16.5">
      <c r="A47760" s="649"/>
      <c r="B47760" s="649"/>
      <c r="E47760" s="649"/>
    </row>
    <row r="47761" spans="1:5" ht="16.5">
      <c r="A47761" s="649"/>
      <c r="B47761" s="649"/>
      <c r="E47761" s="649"/>
    </row>
    <row r="47762" spans="1:5" ht="16.5">
      <c r="A47762" s="649"/>
      <c r="B47762" s="649"/>
      <c r="E47762" s="649"/>
    </row>
    <row r="47763" spans="1:5" ht="16.5">
      <c r="A47763" s="649"/>
      <c r="B47763" s="649"/>
      <c r="E47763" s="649"/>
    </row>
    <row r="47764" spans="1:5" ht="16.5">
      <c r="A47764" s="649"/>
      <c r="B47764" s="649"/>
      <c r="E47764" s="649"/>
    </row>
    <row r="47765" spans="1:5" ht="16.5">
      <c r="A47765" s="649"/>
      <c r="B47765" s="649"/>
      <c r="E47765" s="649"/>
    </row>
    <row r="47766" spans="1:5" ht="16.5">
      <c r="A47766" s="649"/>
      <c r="B47766" s="649"/>
      <c r="E47766" s="649"/>
    </row>
    <row r="47767" spans="1:5" ht="16.5">
      <c r="A47767" s="649"/>
      <c r="B47767" s="649"/>
      <c r="E47767" s="649"/>
    </row>
    <row r="47768" spans="1:5" ht="16.5">
      <c r="A47768" s="649"/>
      <c r="B47768" s="649"/>
      <c r="E47768" s="649"/>
    </row>
    <row r="47769" spans="1:5" ht="16.5">
      <c r="A47769" s="649"/>
      <c r="B47769" s="649"/>
      <c r="E47769" s="649"/>
    </row>
    <row r="47770" spans="1:5" ht="16.5">
      <c r="A47770" s="649"/>
      <c r="B47770" s="649"/>
      <c r="E47770" s="649"/>
    </row>
    <row r="47771" spans="1:5" ht="16.5">
      <c r="A47771" s="649"/>
      <c r="B47771" s="649"/>
      <c r="E47771" s="649"/>
    </row>
    <row r="47772" spans="1:5" ht="16.5">
      <c r="A47772" s="649"/>
      <c r="B47772" s="649"/>
      <c r="E47772" s="649"/>
    </row>
    <row r="47773" spans="1:5" ht="16.5">
      <c r="A47773" s="649"/>
      <c r="B47773" s="649"/>
      <c r="E47773" s="649"/>
    </row>
    <row r="47774" spans="1:5" ht="16.5">
      <c r="A47774" s="649"/>
      <c r="B47774" s="649"/>
      <c r="E47774" s="649"/>
    </row>
    <row r="47775" spans="1:5" ht="16.5">
      <c r="A47775" s="649"/>
      <c r="B47775" s="649"/>
      <c r="E47775" s="649"/>
    </row>
    <row r="47776" spans="1:5" ht="16.5">
      <c r="A47776" s="649"/>
      <c r="B47776" s="649"/>
      <c r="E47776" s="649"/>
    </row>
    <row r="47777" spans="1:5" ht="16.5">
      <c r="A47777" s="649"/>
      <c r="B47777" s="649"/>
      <c r="E47777" s="649"/>
    </row>
    <row r="47778" spans="1:5" ht="16.5">
      <c r="A47778" s="649"/>
      <c r="B47778" s="649"/>
      <c r="E47778" s="649"/>
    </row>
    <row r="47779" spans="1:5" ht="16.5">
      <c r="A47779" s="649"/>
      <c r="B47779" s="649"/>
      <c r="E47779" s="649"/>
    </row>
    <row r="47780" spans="1:5" ht="16.5">
      <c r="A47780" s="649"/>
      <c r="B47780" s="649"/>
      <c r="E47780" s="649"/>
    </row>
    <row r="47781" spans="1:5" ht="16.5">
      <c r="A47781" s="649"/>
      <c r="B47781" s="649"/>
      <c r="E47781" s="649"/>
    </row>
    <row r="47782" spans="1:5" ht="16.5">
      <c r="A47782" s="649"/>
      <c r="B47782" s="649"/>
      <c r="E47782" s="649"/>
    </row>
    <row r="47783" spans="1:5" ht="16.5">
      <c r="A47783" s="649"/>
      <c r="B47783" s="649"/>
      <c r="E47783" s="649"/>
    </row>
    <row r="47784" spans="1:5" ht="16.5">
      <c r="A47784" s="649"/>
      <c r="B47784" s="649"/>
      <c r="E47784" s="649"/>
    </row>
    <row r="47785" spans="1:5" ht="16.5">
      <c r="A47785" s="649"/>
      <c r="B47785" s="649"/>
      <c r="E47785" s="649"/>
    </row>
    <row r="47786" spans="1:5" ht="16.5">
      <c r="A47786" s="649"/>
      <c r="B47786" s="649"/>
      <c r="E47786" s="649"/>
    </row>
    <row r="47787" spans="1:5" ht="16.5">
      <c r="A47787" s="649"/>
      <c r="B47787" s="649"/>
      <c r="E47787" s="649"/>
    </row>
    <row r="47788" spans="1:5" ht="16.5">
      <c r="A47788" s="649"/>
      <c r="B47788" s="649"/>
      <c r="E47788" s="649"/>
    </row>
    <row r="47789" spans="1:5" ht="16.5">
      <c r="A47789" s="649"/>
      <c r="B47789" s="649"/>
      <c r="E47789" s="649"/>
    </row>
    <row r="47790" spans="1:5" ht="16.5">
      <c r="A47790" s="649"/>
      <c r="B47790" s="649"/>
      <c r="E47790" s="649"/>
    </row>
    <row r="47791" spans="1:5" ht="16.5">
      <c r="A47791" s="649"/>
      <c r="B47791" s="649"/>
      <c r="E47791" s="649"/>
    </row>
    <row r="47792" spans="1:5" ht="16.5">
      <c r="A47792" s="649"/>
      <c r="B47792" s="649"/>
      <c r="E47792" s="649"/>
    </row>
    <row r="47793" spans="1:5" ht="16.5">
      <c r="A47793" s="649"/>
      <c r="B47793" s="649"/>
      <c r="E47793" s="649"/>
    </row>
    <row r="47794" spans="1:5" ht="16.5">
      <c r="A47794" s="649"/>
      <c r="B47794" s="649"/>
      <c r="E47794" s="649"/>
    </row>
    <row r="47795" spans="1:5" ht="16.5">
      <c r="A47795" s="649"/>
      <c r="B47795" s="649"/>
      <c r="E47795" s="649"/>
    </row>
    <row r="47796" spans="1:5" ht="16.5">
      <c r="A47796" s="649"/>
      <c r="B47796" s="649"/>
      <c r="E47796" s="649"/>
    </row>
    <row r="47797" spans="1:5" ht="16.5">
      <c r="A47797" s="649"/>
      <c r="B47797" s="649"/>
      <c r="E47797" s="649"/>
    </row>
    <row r="47798" spans="1:5" ht="16.5">
      <c r="A47798" s="649"/>
      <c r="B47798" s="649"/>
      <c r="E47798" s="649"/>
    </row>
    <row r="47799" spans="1:5" ht="16.5">
      <c r="A47799" s="649"/>
      <c r="B47799" s="649"/>
      <c r="E47799" s="649"/>
    </row>
    <row r="47800" spans="1:5" ht="16.5">
      <c r="A47800" s="649"/>
      <c r="B47800" s="649"/>
      <c r="E47800" s="649"/>
    </row>
    <row r="47801" spans="1:5" ht="16.5">
      <c r="A47801" s="649"/>
      <c r="B47801" s="649"/>
      <c r="E47801" s="649"/>
    </row>
    <row r="47802" spans="1:5" ht="16.5">
      <c r="A47802" s="649"/>
      <c r="B47802" s="649"/>
      <c r="E47802" s="649"/>
    </row>
    <row r="47803" spans="1:5" ht="16.5">
      <c r="A47803" s="649"/>
      <c r="B47803" s="649"/>
      <c r="E47803" s="649"/>
    </row>
    <row r="47804" spans="1:5" ht="16.5">
      <c r="A47804" s="649"/>
      <c r="B47804" s="649"/>
      <c r="E47804" s="649"/>
    </row>
    <row r="47805" spans="1:5" ht="16.5">
      <c r="A47805" s="649"/>
      <c r="B47805" s="649"/>
      <c r="E47805" s="649"/>
    </row>
    <row r="47806" spans="1:5" ht="16.5">
      <c r="A47806" s="649"/>
      <c r="B47806" s="649"/>
      <c r="E47806" s="649"/>
    </row>
    <row r="47807" spans="1:5" ht="16.5">
      <c r="A47807" s="649"/>
      <c r="B47807" s="649"/>
      <c r="E47807" s="649"/>
    </row>
    <row r="47808" spans="1:5" ht="16.5">
      <c r="A47808" s="649"/>
      <c r="B47808" s="649"/>
      <c r="E47808" s="649"/>
    </row>
    <row r="47809" spans="1:5" ht="16.5">
      <c r="A47809" s="649"/>
      <c r="B47809" s="649"/>
      <c r="E47809" s="649"/>
    </row>
    <row r="47810" spans="1:5" ht="16.5">
      <c r="A47810" s="649"/>
      <c r="B47810" s="649"/>
      <c r="E47810" s="649"/>
    </row>
    <row r="47811" spans="1:5" ht="16.5">
      <c r="A47811" s="649"/>
      <c r="B47811" s="649"/>
      <c r="E47811" s="649"/>
    </row>
    <row r="47812" spans="1:5" ht="16.5">
      <c r="A47812" s="649"/>
      <c r="B47812" s="649"/>
      <c r="E47812" s="649"/>
    </row>
    <row r="47813" spans="1:5" ht="16.5">
      <c r="A47813" s="649"/>
      <c r="B47813" s="649"/>
      <c r="E47813" s="649"/>
    </row>
    <row r="47814" spans="1:5" ht="16.5">
      <c r="A47814" s="649"/>
      <c r="B47814" s="649"/>
      <c r="E47814" s="649"/>
    </row>
    <row r="47815" spans="1:5" ht="16.5">
      <c r="A47815" s="649"/>
      <c r="B47815" s="649"/>
      <c r="E47815" s="649"/>
    </row>
    <row r="47816" spans="1:5" ht="16.5">
      <c r="A47816" s="649"/>
      <c r="B47816" s="649"/>
      <c r="E47816" s="649"/>
    </row>
    <row r="47817" spans="1:5" ht="16.5">
      <c r="A47817" s="649"/>
      <c r="B47817" s="649"/>
      <c r="E47817" s="649"/>
    </row>
    <row r="47818" spans="1:5" ht="16.5">
      <c r="A47818" s="649"/>
      <c r="B47818" s="649"/>
      <c r="E47818" s="649"/>
    </row>
    <row r="47819" spans="1:5" ht="16.5">
      <c r="A47819" s="649"/>
      <c r="B47819" s="649"/>
      <c r="E47819" s="649"/>
    </row>
    <row r="47820" spans="1:5" ht="16.5">
      <c r="A47820" s="649"/>
      <c r="B47820" s="649"/>
      <c r="E47820" s="649"/>
    </row>
    <row r="47821" spans="1:5" ht="16.5">
      <c r="A47821" s="649"/>
      <c r="B47821" s="649"/>
      <c r="E47821" s="649"/>
    </row>
    <row r="47822" spans="1:5" ht="16.5">
      <c r="A47822" s="649"/>
      <c r="B47822" s="649"/>
      <c r="E47822" s="649"/>
    </row>
    <row r="47823" spans="1:5" ht="16.5">
      <c r="A47823" s="649"/>
      <c r="B47823" s="649"/>
      <c r="E47823" s="649"/>
    </row>
    <row r="47824" spans="1:5" ht="16.5">
      <c r="A47824" s="649"/>
      <c r="B47824" s="649"/>
      <c r="E47824" s="649"/>
    </row>
    <row r="47825" spans="1:5" ht="16.5">
      <c r="A47825" s="649"/>
      <c r="B47825" s="649"/>
      <c r="E47825" s="649"/>
    </row>
    <row r="47826" spans="1:5" ht="16.5">
      <c r="A47826" s="649"/>
      <c r="B47826" s="649"/>
      <c r="E47826" s="649"/>
    </row>
    <row r="47827" spans="1:5" ht="16.5">
      <c r="A47827" s="649"/>
      <c r="B47827" s="649"/>
      <c r="E47827" s="649"/>
    </row>
    <row r="47828" spans="1:5" ht="16.5">
      <c r="A47828" s="649"/>
      <c r="B47828" s="649"/>
      <c r="E47828" s="649"/>
    </row>
    <row r="47829" spans="1:5" ht="16.5">
      <c r="A47829" s="649"/>
      <c r="B47829" s="649"/>
      <c r="E47829" s="649"/>
    </row>
    <row r="47830" spans="1:5" ht="16.5">
      <c r="A47830" s="649"/>
      <c r="B47830" s="649"/>
      <c r="E47830" s="649"/>
    </row>
    <row r="47831" spans="1:5" ht="16.5">
      <c r="A47831" s="649"/>
      <c r="B47831" s="649"/>
      <c r="E47831" s="649"/>
    </row>
    <row r="47832" spans="1:5" ht="16.5">
      <c r="A47832" s="649"/>
      <c r="B47832" s="649"/>
      <c r="E47832" s="649"/>
    </row>
    <row r="47833" spans="1:5" ht="16.5">
      <c r="A47833" s="649"/>
      <c r="B47833" s="649"/>
      <c r="E47833" s="649"/>
    </row>
    <row r="47834" spans="1:5" ht="16.5">
      <c r="A47834" s="649"/>
      <c r="B47834" s="649"/>
      <c r="E47834" s="649"/>
    </row>
    <row r="47835" spans="1:5" ht="16.5">
      <c r="A47835" s="649"/>
      <c r="B47835" s="649"/>
      <c r="E47835" s="649"/>
    </row>
    <row r="47836" spans="1:5" ht="16.5">
      <c r="A47836" s="649"/>
      <c r="B47836" s="649"/>
      <c r="E47836" s="649"/>
    </row>
    <row r="47837" spans="1:5" ht="16.5">
      <c r="A47837" s="649"/>
      <c r="B47837" s="649"/>
      <c r="E47837" s="649"/>
    </row>
    <row r="47838" spans="1:5" ht="16.5">
      <c r="A47838" s="649"/>
      <c r="B47838" s="649"/>
      <c r="E47838" s="649"/>
    </row>
    <row r="47839" spans="1:5" ht="16.5">
      <c r="A47839" s="649"/>
      <c r="B47839" s="649"/>
      <c r="E47839" s="649"/>
    </row>
    <row r="47840" spans="1:5" ht="16.5">
      <c r="A47840" s="649"/>
      <c r="B47840" s="649"/>
      <c r="E47840" s="649"/>
    </row>
    <row r="47841" spans="1:5" ht="16.5">
      <c r="A47841" s="649"/>
      <c r="B47841" s="649"/>
      <c r="E47841" s="649"/>
    </row>
    <row r="47842" spans="1:5" ht="16.5">
      <c r="A47842" s="649"/>
      <c r="B47842" s="649"/>
      <c r="E47842" s="649"/>
    </row>
    <row r="47843" spans="1:5" ht="16.5">
      <c r="A47843" s="649"/>
      <c r="B47843" s="649"/>
      <c r="E47843" s="649"/>
    </row>
    <row r="47844" spans="1:5" ht="16.5">
      <c r="A47844" s="649"/>
      <c r="B47844" s="649"/>
      <c r="E47844" s="649"/>
    </row>
    <row r="47845" spans="1:5" ht="16.5">
      <c r="A47845" s="649"/>
      <c r="B47845" s="649"/>
      <c r="E47845" s="649"/>
    </row>
    <row r="47846" spans="1:5" ht="16.5">
      <c r="A47846" s="649"/>
      <c r="B47846" s="649"/>
      <c r="E47846" s="649"/>
    </row>
    <row r="47847" spans="1:5" ht="16.5">
      <c r="A47847" s="649"/>
      <c r="B47847" s="649"/>
      <c r="E47847" s="649"/>
    </row>
    <row r="47848" spans="1:5" ht="16.5">
      <c r="A47848" s="649"/>
      <c r="B47848" s="649"/>
      <c r="E47848" s="649"/>
    </row>
    <row r="47849" spans="1:5" ht="16.5">
      <c r="A47849" s="649"/>
      <c r="B47849" s="649"/>
      <c r="E47849" s="649"/>
    </row>
    <row r="47850" spans="1:5" ht="16.5">
      <c r="A47850" s="649"/>
      <c r="B47850" s="649"/>
      <c r="E47850" s="649"/>
    </row>
    <row r="47851" spans="1:5" ht="16.5">
      <c r="A47851" s="649"/>
      <c r="B47851" s="649"/>
      <c r="E47851" s="649"/>
    </row>
    <row r="47852" spans="1:5" ht="16.5">
      <c r="A47852" s="649"/>
      <c r="B47852" s="649"/>
      <c r="E47852" s="649"/>
    </row>
    <row r="47853" spans="1:5" ht="16.5">
      <c r="A47853" s="649"/>
      <c r="B47853" s="649"/>
      <c r="E47853" s="649"/>
    </row>
    <row r="47854" spans="1:5" ht="16.5">
      <c r="A47854" s="649"/>
      <c r="B47854" s="649"/>
      <c r="E47854" s="649"/>
    </row>
    <row r="47855" spans="1:5" ht="16.5">
      <c r="A47855" s="649"/>
      <c r="B47855" s="649"/>
      <c r="E47855" s="649"/>
    </row>
    <row r="47856" spans="1:5" ht="16.5">
      <c r="A47856" s="649"/>
      <c r="B47856" s="649"/>
      <c r="E47856" s="649"/>
    </row>
    <row r="47857" spans="1:5" ht="16.5">
      <c r="A47857" s="649"/>
      <c r="B47857" s="649"/>
      <c r="E47857" s="649"/>
    </row>
    <row r="47858" spans="1:5" ht="16.5">
      <c r="A47858" s="649"/>
      <c r="B47858" s="649"/>
      <c r="E47858" s="649"/>
    </row>
    <row r="47859" spans="1:5" ht="16.5">
      <c r="A47859" s="649"/>
      <c r="B47859" s="649"/>
      <c r="E47859" s="649"/>
    </row>
    <row r="47860" spans="1:5" ht="16.5">
      <c r="A47860" s="649"/>
      <c r="B47860" s="649"/>
      <c r="E47860" s="649"/>
    </row>
    <row r="47861" spans="1:5" ht="16.5">
      <c r="A47861" s="649"/>
      <c r="B47861" s="649"/>
      <c r="E47861" s="649"/>
    </row>
    <row r="47862" spans="1:5" ht="16.5">
      <c r="A47862" s="649"/>
      <c r="B47862" s="649"/>
      <c r="E47862" s="649"/>
    </row>
    <row r="47863" spans="1:5" ht="16.5">
      <c r="A47863" s="649"/>
      <c r="B47863" s="649"/>
      <c r="E47863" s="649"/>
    </row>
    <row r="47864" spans="1:5" ht="16.5">
      <c r="A47864" s="649"/>
      <c r="B47864" s="649"/>
      <c r="E47864" s="649"/>
    </row>
    <row r="47865" spans="1:5" ht="16.5">
      <c r="A47865" s="649"/>
      <c r="B47865" s="649"/>
      <c r="E47865" s="649"/>
    </row>
    <row r="47866" spans="1:5" ht="16.5">
      <c r="A47866" s="649"/>
      <c r="B47866" s="649"/>
      <c r="E47866" s="649"/>
    </row>
    <row r="47867" spans="1:5" ht="16.5">
      <c r="A47867" s="649"/>
      <c r="B47867" s="649"/>
      <c r="E47867" s="649"/>
    </row>
    <row r="47868" spans="1:5" ht="16.5">
      <c r="A47868" s="649"/>
      <c r="B47868" s="649"/>
      <c r="E47868" s="649"/>
    </row>
    <row r="47869" spans="1:5" ht="16.5">
      <c r="A47869" s="649"/>
      <c r="B47869" s="649"/>
      <c r="E47869" s="649"/>
    </row>
    <row r="47870" spans="1:5" ht="16.5">
      <c r="A47870" s="649"/>
      <c r="B47870" s="649"/>
      <c r="E47870" s="649"/>
    </row>
    <row r="47871" spans="1:5" ht="16.5">
      <c r="A47871" s="649"/>
      <c r="B47871" s="649"/>
      <c r="E47871" s="649"/>
    </row>
    <row r="47872" spans="1:5" ht="16.5">
      <c r="A47872" s="649"/>
      <c r="B47872" s="649"/>
      <c r="E47872" s="649"/>
    </row>
    <row r="47873" spans="1:5" ht="16.5">
      <c r="A47873" s="649"/>
      <c r="B47873" s="649"/>
      <c r="E47873" s="649"/>
    </row>
    <row r="47874" spans="1:5" ht="16.5">
      <c r="A47874" s="649"/>
      <c r="B47874" s="649"/>
      <c r="E47874" s="649"/>
    </row>
    <row r="47875" spans="1:5" ht="16.5">
      <c r="A47875" s="649"/>
      <c r="B47875" s="649"/>
      <c r="E47875" s="649"/>
    </row>
    <row r="47876" spans="1:5" ht="16.5">
      <c r="A47876" s="649"/>
      <c r="B47876" s="649"/>
      <c r="E47876" s="649"/>
    </row>
    <row r="47877" spans="1:5" ht="16.5">
      <c r="A47877" s="649"/>
      <c r="B47877" s="649"/>
      <c r="E47877" s="649"/>
    </row>
    <row r="47878" spans="1:5" ht="16.5">
      <c r="A47878" s="649"/>
      <c r="B47878" s="649"/>
      <c r="E47878" s="649"/>
    </row>
    <row r="47879" spans="1:5" ht="16.5">
      <c r="A47879" s="649"/>
      <c r="B47879" s="649"/>
      <c r="E47879" s="649"/>
    </row>
    <row r="47880" spans="1:5" ht="16.5">
      <c r="A47880" s="649"/>
      <c r="B47880" s="649"/>
      <c r="E47880" s="649"/>
    </row>
    <row r="47881" spans="1:5" ht="16.5">
      <c r="A47881" s="649"/>
      <c r="B47881" s="649"/>
      <c r="E47881" s="649"/>
    </row>
    <row r="47882" spans="1:5" ht="16.5">
      <c r="A47882" s="649"/>
      <c r="B47882" s="649"/>
      <c r="E47882" s="649"/>
    </row>
    <row r="47883" spans="1:5" ht="16.5">
      <c r="A47883" s="649"/>
      <c r="B47883" s="649"/>
      <c r="E47883" s="649"/>
    </row>
    <row r="47884" spans="1:5" ht="16.5">
      <c r="A47884" s="649"/>
      <c r="B47884" s="649"/>
      <c r="E47884" s="649"/>
    </row>
    <row r="47885" spans="1:5" ht="16.5">
      <c r="A47885" s="649"/>
      <c r="B47885" s="649"/>
      <c r="E47885" s="649"/>
    </row>
    <row r="47886" spans="1:5" ht="16.5">
      <c r="A47886" s="649"/>
      <c r="B47886" s="649"/>
      <c r="E47886" s="649"/>
    </row>
    <row r="47887" spans="1:5" ht="16.5">
      <c r="A47887" s="649"/>
      <c r="B47887" s="649"/>
      <c r="E47887" s="649"/>
    </row>
    <row r="47888" spans="1:5" ht="16.5">
      <c r="A47888" s="649"/>
      <c r="B47888" s="649"/>
      <c r="E47888" s="649"/>
    </row>
    <row r="47889" spans="1:5" ht="16.5">
      <c r="A47889" s="649"/>
      <c r="B47889" s="649"/>
      <c r="E47889" s="649"/>
    </row>
    <row r="47890" spans="1:5" ht="16.5">
      <c r="A47890" s="649"/>
      <c r="B47890" s="649"/>
      <c r="E47890" s="649"/>
    </row>
    <row r="47891" spans="1:5" ht="16.5">
      <c r="A47891" s="649"/>
      <c r="B47891" s="649"/>
      <c r="E47891" s="649"/>
    </row>
    <row r="47892" spans="1:5" ht="16.5">
      <c r="A47892" s="649"/>
      <c r="B47892" s="649"/>
      <c r="E47892" s="649"/>
    </row>
    <row r="47893" spans="1:5" ht="16.5">
      <c r="A47893" s="649"/>
      <c r="B47893" s="649"/>
      <c r="E47893" s="649"/>
    </row>
    <row r="47894" spans="1:5" ht="16.5">
      <c r="A47894" s="649"/>
      <c r="B47894" s="649"/>
      <c r="E47894" s="649"/>
    </row>
    <row r="47895" spans="1:5" ht="16.5">
      <c r="A47895" s="649"/>
      <c r="B47895" s="649"/>
      <c r="E47895" s="649"/>
    </row>
    <row r="47896" spans="1:5" ht="16.5">
      <c r="A47896" s="649"/>
      <c r="B47896" s="649"/>
      <c r="E47896" s="649"/>
    </row>
    <row r="47897" spans="1:5" ht="16.5">
      <c r="A47897" s="649"/>
      <c r="B47897" s="649"/>
      <c r="E47897" s="649"/>
    </row>
    <row r="47898" spans="1:5" ht="16.5">
      <c r="A47898" s="649"/>
      <c r="B47898" s="649"/>
      <c r="E47898" s="649"/>
    </row>
    <row r="47899" spans="1:5" ht="16.5">
      <c r="A47899" s="649"/>
      <c r="B47899" s="649"/>
      <c r="E47899" s="649"/>
    </row>
    <row r="47900" spans="1:5" ht="16.5">
      <c r="A47900" s="649"/>
      <c r="B47900" s="649"/>
      <c r="E47900" s="649"/>
    </row>
    <row r="47901" spans="1:5" ht="16.5">
      <c r="A47901" s="649"/>
      <c r="B47901" s="649"/>
      <c r="E47901" s="649"/>
    </row>
    <row r="47902" spans="1:5" ht="16.5">
      <c r="A47902" s="649"/>
      <c r="B47902" s="649"/>
      <c r="E47902" s="649"/>
    </row>
    <row r="47903" spans="1:5" ht="16.5">
      <c r="A47903" s="649"/>
      <c r="B47903" s="649"/>
      <c r="E47903" s="649"/>
    </row>
    <row r="47904" spans="1:5" ht="16.5">
      <c r="A47904" s="649"/>
      <c r="B47904" s="649"/>
      <c r="E47904" s="649"/>
    </row>
    <row r="47905" spans="1:5" ht="16.5">
      <c r="A47905" s="649"/>
      <c r="B47905" s="649"/>
      <c r="E47905" s="649"/>
    </row>
    <row r="47906" spans="1:5" ht="16.5">
      <c r="A47906" s="649"/>
      <c r="B47906" s="649"/>
      <c r="E47906" s="649"/>
    </row>
    <row r="47907" spans="1:5" ht="16.5">
      <c r="A47907" s="649"/>
      <c r="B47907" s="649"/>
      <c r="E47907" s="649"/>
    </row>
    <row r="47908" spans="1:5" ht="16.5">
      <c r="A47908" s="649"/>
      <c r="B47908" s="649"/>
      <c r="E47908" s="649"/>
    </row>
    <row r="47909" spans="1:5" ht="16.5">
      <c r="A47909" s="649"/>
      <c r="B47909" s="649"/>
      <c r="E47909" s="649"/>
    </row>
    <row r="47910" spans="1:5" ht="16.5">
      <c r="A47910" s="649"/>
      <c r="B47910" s="649"/>
      <c r="E47910" s="649"/>
    </row>
    <row r="47911" spans="1:5" ht="16.5">
      <c r="A47911" s="649"/>
      <c r="B47911" s="649"/>
      <c r="E47911" s="649"/>
    </row>
    <row r="47912" spans="1:5" ht="16.5">
      <c r="A47912" s="649"/>
      <c r="B47912" s="649"/>
      <c r="E47912" s="649"/>
    </row>
    <row r="47913" spans="1:5" ht="16.5">
      <c r="A47913" s="649"/>
      <c r="B47913" s="649"/>
      <c r="E47913" s="649"/>
    </row>
    <row r="47914" spans="1:5" ht="16.5">
      <c r="A47914" s="649"/>
      <c r="B47914" s="649"/>
      <c r="E47914" s="649"/>
    </row>
    <row r="47915" spans="1:5" ht="16.5">
      <c r="A47915" s="649"/>
      <c r="B47915" s="649"/>
      <c r="E47915" s="649"/>
    </row>
    <row r="47916" spans="1:5" ht="16.5">
      <c r="A47916" s="649"/>
      <c r="B47916" s="649"/>
      <c r="E47916" s="649"/>
    </row>
    <row r="47917" spans="1:5" ht="16.5">
      <c r="A47917" s="649"/>
      <c r="B47917" s="649"/>
      <c r="E47917" s="649"/>
    </row>
    <row r="47918" spans="1:5" ht="16.5">
      <c r="A47918" s="649"/>
      <c r="B47918" s="649"/>
      <c r="E47918" s="649"/>
    </row>
    <row r="47919" spans="1:5" ht="16.5">
      <c r="A47919" s="649"/>
      <c r="B47919" s="649"/>
      <c r="E47919" s="649"/>
    </row>
    <row r="47920" spans="1:5" ht="16.5">
      <c r="A47920" s="649"/>
      <c r="B47920" s="649"/>
      <c r="E47920" s="649"/>
    </row>
    <row r="47921" spans="1:5" ht="16.5">
      <c r="A47921" s="649"/>
      <c r="B47921" s="649"/>
      <c r="E47921" s="649"/>
    </row>
    <row r="47922" spans="1:5" ht="16.5">
      <c r="A47922" s="649"/>
      <c r="B47922" s="649"/>
      <c r="E47922" s="649"/>
    </row>
    <row r="47923" spans="1:5" ht="16.5">
      <c r="A47923" s="649"/>
      <c r="B47923" s="649"/>
      <c r="E47923" s="649"/>
    </row>
    <row r="47924" spans="1:5" ht="16.5">
      <c r="A47924" s="649"/>
      <c r="B47924" s="649"/>
      <c r="E47924" s="649"/>
    </row>
    <row r="47925" spans="1:5" ht="16.5">
      <c r="A47925" s="649"/>
      <c r="B47925" s="649"/>
      <c r="E47925" s="649"/>
    </row>
    <row r="47926" spans="1:5" ht="16.5">
      <c r="A47926" s="649"/>
      <c r="B47926" s="649"/>
      <c r="E47926" s="649"/>
    </row>
    <row r="47927" spans="1:5" ht="16.5">
      <c r="A47927" s="649"/>
      <c r="B47927" s="649"/>
      <c r="E47927" s="649"/>
    </row>
    <row r="47928" spans="1:5" ht="16.5">
      <c r="A47928" s="649"/>
      <c r="B47928" s="649"/>
      <c r="E47928" s="649"/>
    </row>
    <row r="47929" spans="1:5" ht="16.5">
      <c r="A47929" s="649"/>
      <c r="B47929" s="649"/>
      <c r="E47929" s="649"/>
    </row>
    <row r="47930" spans="1:5" ht="16.5">
      <c r="A47930" s="649"/>
      <c r="B47930" s="649"/>
      <c r="E47930" s="649"/>
    </row>
    <row r="47931" spans="1:5" ht="16.5">
      <c r="A47931" s="649"/>
      <c r="B47931" s="649"/>
      <c r="E47931" s="649"/>
    </row>
    <row r="47932" spans="1:5" ht="16.5">
      <c r="A47932" s="649"/>
      <c r="B47932" s="649"/>
      <c r="E47932" s="649"/>
    </row>
    <row r="47933" spans="1:5" ht="16.5">
      <c r="A47933" s="649"/>
      <c r="B47933" s="649"/>
      <c r="E47933" s="649"/>
    </row>
    <row r="47934" spans="1:5" ht="16.5">
      <c r="A47934" s="649"/>
      <c r="B47934" s="649"/>
      <c r="E47934" s="649"/>
    </row>
    <row r="47935" spans="1:5" ht="16.5">
      <c r="A47935" s="649"/>
      <c r="B47935" s="649"/>
      <c r="E47935" s="649"/>
    </row>
    <row r="47936" spans="1:5" ht="16.5">
      <c r="A47936" s="649"/>
      <c r="B47936" s="649"/>
      <c r="E47936" s="649"/>
    </row>
    <row r="47937" spans="1:5" ht="16.5">
      <c r="A47937" s="649"/>
      <c r="B47937" s="649"/>
      <c r="E47937" s="649"/>
    </row>
    <row r="47938" spans="1:5" ht="16.5">
      <c r="A47938" s="649"/>
      <c r="B47938" s="649"/>
      <c r="E47938" s="649"/>
    </row>
    <row r="47939" spans="1:5" ht="16.5">
      <c r="A47939" s="649"/>
      <c r="B47939" s="649"/>
      <c r="E47939" s="649"/>
    </row>
    <row r="47940" spans="1:5" ht="16.5">
      <c r="A47940" s="649"/>
      <c r="B47940" s="649"/>
      <c r="E47940" s="649"/>
    </row>
    <row r="47941" spans="1:5" ht="16.5">
      <c r="A47941" s="649"/>
      <c r="B47941" s="649"/>
      <c r="E47941" s="649"/>
    </row>
    <row r="47942" spans="1:5" ht="16.5">
      <c r="A47942" s="649"/>
      <c r="B47942" s="649"/>
      <c r="E47942" s="649"/>
    </row>
    <row r="47943" spans="1:5" ht="16.5">
      <c r="A47943" s="649"/>
      <c r="B47943" s="649"/>
      <c r="E47943" s="649"/>
    </row>
    <row r="47944" spans="1:5" ht="16.5">
      <c r="A47944" s="649"/>
      <c r="B47944" s="649"/>
      <c r="E47944" s="649"/>
    </row>
    <row r="47945" spans="1:5" ht="16.5">
      <c r="A47945" s="649"/>
      <c r="B47945" s="649"/>
      <c r="E47945" s="649"/>
    </row>
    <row r="47946" spans="1:5" ht="16.5">
      <c r="A47946" s="649"/>
      <c r="B47946" s="649"/>
      <c r="E47946" s="649"/>
    </row>
    <row r="47947" spans="1:5" ht="16.5">
      <c r="A47947" s="649"/>
      <c r="B47947" s="649"/>
      <c r="E47947" s="649"/>
    </row>
    <row r="47948" spans="1:5" ht="16.5">
      <c r="A47948" s="649"/>
      <c r="B47948" s="649"/>
      <c r="E47948" s="649"/>
    </row>
    <row r="47949" spans="1:5" ht="16.5">
      <c r="A47949" s="649"/>
      <c r="B47949" s="649"/>
      <c r="E47949" s="649"/>
    </row>
    <row r="47950" spans="1:5" ht="16.5">
      <c r="A47950" s="649"/>
      <c r="B47950" s="649"/>
      <c r="E47950" s="649"/>
    </row>
    <row r="47951" spans="1:5" ht="16.5">
      <c r="A47951" s="649"/>
      <c r="B47951" s="649"/>
      <c r="E47951" s="649"/>
    </row>
    <row r="47952" spans="1:5" ht="16.5">
      <c r="A47952" s="649"/>
      <c r="B47952" s="649"/>
      <c r="E47952" s="649"/>
    </row>
    <row r="47953" spans="1:5" ht="16.5">
      <c r="A47953" s="649"/>
      <c r="B47953" s="649"/>
      <c r="E47953" s="649"/>
    </row>
    <row r="47954" spans="1:5" ht="16.5">
      <c r="A47954" s="649"/>
      <c r="B47954" s="649"/>
      <c r="E47954" s="649"/>
    </row>
    <row r="47955" spans="1:5" ht="16.5">
      <c r="A47955" s="649"/>
      <c r="B47955" s="649"/>
      <c r="E47955" s="649"/>
    </row>
    <row r="47956" spans="1:5" ht="16.5">
      <c r="A47956" s="649"/>
      <c r="B47956" s="649"/>
      <c r="E47956" s="649"/>
    </row>
    <row r="47957" spans="1:5" ht="16.5">
      <c r="A47957" s="649"/>
      <c r="B47957" s="649"/>
      <c r="E47957" s="649"/>
    </row>
    <row r="47958" spans="1:5" ht="16.5">
      <c r="A47958" s="649"/>
      <c r="B47958" s="649"/>
      <c r="E47958" s="649"/>
    </row>
    <row r="47959" spans="1:5" ht="16.5">
      <c r="A47959" s="649"/>
      <c r="B47959" s="649"/>
      <c r="E47959" s="649"/>
    </row>
    <row r="47960" spans="1:5" ht="16.5">
      <c r="A47960" s="649"/>
      <c r="B47960" s="649"/>
      <c r="E47960" s="649"/>
    </row>
    <row r="47961" spans="1:5" ht="16.5">
      <c r="A47961" s="649"/>
      <c r="B47961" s="649"/>
      <c r="E47961" s="649"/>
    </row>
    <row r="47962" spans="1:5" ht="16.5">
      <c r="A47962" s="649"/>
      <c r="B47962" s="649"/>
      <c r="E47962" s="649"/>
    </row>
    <row r="47963" spans="1:5" ht="16.5">
      <c r="A47963" s="649"/>
      <c r="B47963" s="649"/>
      <c r="E47963" s="649"/>
    </row>
    <row r="47964" spans="1:5" ht="16.5">
      <c r="A47964" s="649"/>
      <c r="B47964" s="649"/>
      <c r="E47964" s="649"/>
    </row>
    <row r="47965" spans="1:5" ht="16.5">
      <c r="A47965" s="649"/>
      <c r="B47965" s="649"/>
      <c r="E47965" s="649"/>
    </row>
    <row r="47966" spans="1:5" ht="16.5">
      <c r="A47966" s="649"/>
      <c r="B47966" s="649"/>
      <c r="E47966" s="649"/>
    </row>
    <row r="47967" spans="1:5" ht="16.5">
      <c r="A47967" s="649"/>
      <c r="B47967" s="649"/>
      <c r="E47967" s="649"/>
    </row>
    <row r="47968" spans="1:5" ht="16.5">
      <c r="A47968" s="649"/>
      <c r="B47968" s="649"/>
      <c r="E47968" s="649"/>
    </row>
    <row r="47969" spans="1:5" ht="16.5">
      <c r="A47969" s="649"/>
      <c r="B47969" s="649"/>
      <c r="E47969" s="649"/>
    </row>
    <row r="47970" spans="1:5" ht="16.5">
      <c r="A47970" s="649"/>
      <c r="B47970" s="649"/>
      <c r="E47970" s="649"/>
    </row>
    <row r="47971" spans="1:5" ht="16.5">
      <c r="A47971" s="649"/>
      <c r="B47971" s="649"/>
      <c r="E47971" s="649"/>
    </row>
    <row r="47972" spans="1:5" ht="16.5">
      <c r="A47972" s="649"/>
      <c r="B47972" s="649"/>
      <c r="E47972" s="649"/>
    </row>
    <row r="47973" spans="1:5" ht="16.5">
      <c r="A47973" s="649"/>
      <c r="B47973" s="649"/>
      <c r="E47973" s="649"/>
    </row>
    <row r="47974" spans="1:5" ht="16.5">
      <c r="A47974" s="649"/>
      <c r="B47974" s="649"/>
      <c r="E47974" s="649"/>
    </row>
    <row r="47975" spans="1:5" ht="16.5">
      <c r="A47975" s="649"/>
      <c r="B47975" s="649"/>
      <c r="E47975" s="649"/>
    </row>
    <row r="47976" spans="1:5" ht="16.5">
      <c r="A47976" s="649"/>
      <c r="B47976" s="649"/>
      <c r="E47976" s="649"/>
    </row>
    <row r="47977" spans="1:5" ht="16.5">
      <c r="A47977" s="649"/>
      <c r="B47977" s="649"/>
      <c r="E47977" s="649"/>
    </row>
    <row r="47978" spans="1:5" ht="16.5">
      <c r="A47978" s="649"/>
      <c r="B47978" s="649"/>
      <c r="E47978" s="649"/>
    </row>
    <row r="47979" spans="1:5" ht="16.5">
      <c r="A47979" s="649"/>
      <c r="B47979" s="649"/>
      <c r="E47979" s="649"/>
    </row>
    <row r="47980" spans="1:5" ht="16.5">
      <c r="A47980" s="649"/>
      <c r="B47980" s="649"/>
      <c r="E47980" s="649"/>
    </row>
    <row r="47981" spans="1:5" ht="16.5">
      <c r="A47981" s="649"/>
      <c r="B47981" s="649"/>
      <c r="E47981" s="649"/>
    </row>
    <row r="47982" spans="1:5" ht="16.5">
      <c r="A47982" s="649"/>
      <c r="B47982" s="649"/>
      <c r="E47982" s="649"/>
    </row>
    <row r="47983" spans="1:5" ht="16.5">
      <c r="A47983" s="649"/>
      <c r="B47983" s="649"/>
      <c r="E47983" s="649"/>
    </row>
    <row r="47984" spans="1:5" ht="16.5">
      <c r="A47984" s="649"/>
      <c r="B47984" s="649"/>
      <c r="E47984" s="649"/>
    </row>
    <row r="47985" spans="1:5" ht="16.5">
      <c r="A47985" s="649"/>
      <c r="B47985" s="649"/>
      <c r="E47985" s="649"/>
    </row>
    <row r="47986" spans="1:5" ht="16.5">
      <c r="A47986" s="649"/>
      <c r="B47986" s="649"/>
      <c r="E47986" s="649"/>
    </row>
    <row r="47987" spans="1:5" ht="16.5">
      <c r="A47987" s="649"/>
      <c r="B47987" s="649"/>
      <c r="E47987" s="649"/>
    </row>
    <row r="47988" spans="1:5" ht="16.5">
      <c r="A47988" s="649"/>
      <c r="B47988" s="649"/>
      <c r="E47988" s="649"/>
    </row>
    <row r="47989" spans="1:5" ht="16.5">
      <c r="A47989" s="649"/>
      <c r="B47989" s="649"/>
      <c r="E47989" s="649"/>
    </row>
    <row r="47990" spans="1:5" ht="16.5">
      <c r="A47990" s="649"/>
      <c r="B47990" s="649"/>
      <c r="E47990" s="649"/>
    </row>
    <row r="47991" spans="1:5" ht="16.5">
      <c r="A47991" s="649"/>
      <c r="B47991" s="649"/>
      <c r="E47991" s="649"/>
    </row>
    <row r="47992" spans="1:5" ht="16.5">
      <c r="A47992" s="649"/>
      <c r="B47992" s="649"/>
      <c r="E47992" s="649"/>
    </row>
    <row r="47993" spans="1:5" ht="16.5">
      <c r="A47993" s="649"/>
      <c r="B47993" s="649"/>
      <c r="E47993" s="649"/>
    </row>
    <row r="47994" spans="1:5" ht="16.5">
      <c r="A47994" s="649"/>
      <c r="B47994" s="649"/>
      <c r="E47994" s="649"/>
    </row>
    <row r="47995" spans="1:5" ht="16.5">
      <c r="A47995" s="649"/>
      <c r="B47995" s="649"/>
      <c r="E47995" s="649"/>
    </row>
    <row r="47996" spans="1:5" ht="16.5">
      <c r="A47996" s="649"/>
      <c r="B47996" s="649"/>
      <c r="E47996" s="649"/>
    </row>
    <row r="47997" spans="1:5" ht="16.5">
      <c r="A47997" s="649"/>
      <c r="B47997" s="649"/>
      <c r="E47997" s="649"/>
    </row>
    <row r="47998" spans="1:5" ht="16.5">
      <c r="A47998" s="649"/>
      <c r="B47998" s="649"/>
      <c r="E47998" s="649"/>
    </row>
    <row r="47999" spans="1:5" ht="16.5">
      <c r="A47999" s="649"/>
      <c r="B47999" s="649"/>
      <c r="E47999" s="649"/>
    </row>
    <row r="48000" spans="1:5" ht="16.5">
      <c r="A48000" s="649"/>
      <c r="B48000" s="649"/>
      <c r="E48000" s="649"/>
    </row>
    <row r="48001" spans="1:5" ht="16.5">
      <c r="A48001" s="649"/>
      <c r="B48001" s="649"/>
      <c r="E48001" s="649"/>
    </row>
    <row r="48002" spans="1:5" ht="16.5">
      <c r="A48002" s="649"/>
      <c r="B48002" s="649"/>
      <c r="E48002" s="649"/>
    </row>
    <row r="48003" spans="1:5" ht="16.5">
      <c r="A48003" s="649"/>
      <c r="B48003" s="649"/>
      <c r="E48003" s="649"/>
    </row>
    <row r="48004" spans="1:5" ht="16.5">
      <c r="A48004" s="649"/>
      <c r="B48004" s="649"/>
      <c r="E48004" s="649"/>
    </row>
    <row r="48005" spans="1:5" ht="16.5">
      <c r="A48005" s="649"/>
      <c r="B48005" s="649"/>
      <c r="E48005" s="649"/>
    </row>
    <row r="48006" spans="1:5" ht="16.5">
      <c r="A48006" s="649"/>
      <c r="B48006" s="649"/>
      <c r="E48006" s="649"/>
    </row>
    <row r="48007" spans="1:5" ht="16.5">
      <c r="A48007" s="649"/>
      <c r="B48007" s="649"/>
      <c r="E48007" s="649"/>
    </row>
    <row r="48008" spans="1:5" ht="16.5">
      <c r="A48008" s="649"/>
      <c r="B48008" s="649"/>
      <c r="E48008" s="649"/>
    </row>
    <row r="48009" spans="1:5" ht="16.5">
      <c r="A48009" s="649"/>
      <c r="B48009" s="649"/>
      <c r="E48009" s="649"/>
    </row>
    <row r="48010" spans="1:5" ht="16.5">
      <c r="A48010" s="649"/>
      <c r="B48010" s="649"/>
      <c r="E48010" s="649"/>
    </row>
    <row r="48011" spans="1:5" ht="16.5">
      <c r="A48011" s="649"/>
      <c r="B48011" s="649"/>
      <c r="E48011" s="649"/>
    </row>
    <row r="48012" spans="1:5" ht="16.5">
      <c r="A48012" s="649"/>
      <c r="B48012" s="649"/>
      <c r="E48012" s="649"/>
    </row>
    <row r="48013" spans="1:5" ht="16.5">
      <c r="A48013" s="649"/>
      <c r="B48013" s="649"/>
      <c r="E48013" s="649"/>
    </row>
    <row r="48014" spans="1:5" ht="16.5">
      <c r="A48014" s="649"/>
      <c r="B48014" s="649"/>
      <c r="E48014" s="649"/>
    </row>
    <row r="48015" spans="1:5" ht="16.5">
      <c r="A48015" s="649"/>
      <c r="B48015" s="649"/>
      <c r="E48015" s="649"/>
    </row>
    <row r="48016" spans="1:5" ht="16.5">
      <c r="A48016" s="649"/>
      <c r="B48016" s="649"/>
      <c r="E48016" s="649"/>
    </row>
    <row r="48017" spans="1:5" ht="16.5">
      <c r="A48017" s="649"/>
      <c r="B48017" s="649"/>
      <c r="E48017" s="649"/>
    </row>
    <row r="48018" spans="1:5" ht="16.5">
      <c r="A48018" s="649"/>
      <c r="B48018" s="649"/>
      <c r="E48018" s="649"/>
    </row>
    <row r="48019" spans="1:5" ht="16.5">
      <c r="A48019" s="649"/>
      <c r="B48019" s="649"/>
      <c r="E48019" s="649"/>
    </row>
    <row r="48020" spans="1:5" ht="16.5">
      <c r="A48020" s="649"/>
      <c r="B48020" s="649"/>
      <c r="E48020" s="649"/>
    </row>
    <row r="48021" spans="1:5" ht="16.5">
      <c r="A48021" s="649"/>
      <c r="B48021" s="649"/>
      <c r="E48021" s="649"/>
    </row>
    <row r="48022" spans="1:5" ht="16.5">
      <c r="A48022" s="649"/>
      <c r="B48022" s="649"/>
      <c r="E48022" s="649"/>
    </row>
    <row r="48023" spans="1:5" ht="16.5">
      <c r="A48023" s="649"/>
      <c r="B48023" s="649"/>
      <c r="E48023" s="649"/>
    </row>
    <row r="48024" spans="1:5" ht="16.5">
      <c r="A48024" s="649"/>
      <c r="B48024" s="649"/>
      <c r="E48024" s="649"/>
    </row>
    <row r="48025" spans="1:5" ht="16.5">
      <c r="A48025" s="649"/>
      <c r="B48025" s="649"/>
      <c r="E48025" s="649"/>
    </row>
    <row r="48026" spans="1:5" ht="16.5">
      <c r="A48026" s="649"/>
      <c r="B48026" s="649"/>
      <c r="E48026" s="649"/>
    </row>
    <row r="48027" spans="1:5" ht="16.5">
      <c r="A48027" s="649"/>
      <c r="B48027" s="649"/>
      <c r="E48027" s="649"/>
    </row>
    <row r="48028" spans="1:5" ht="16.5">
      <c r="A48028" s="649"/>
      <c r="B48028" s="649"/>
      <c r="E48028" s="649"/>
    </row>
    <row r="48029" spans="1:5" ht="16.5">
      <c r="A48029" s="649"/>
      <c r="B48029" s="649"/>
      <c r="E48029" s="649"/>
    </row>
    <row r="48030" spans="1:5" ht="16.5">
      <c r="A48030" s="649"/>
      <c r="B48030" s="649"/>
      <c r="E48030" s="649"/>
    </row>
    <row r="48031" spans="1:5" ht="16.5">
      <c r="A48031" s="649"/>
      <c r="B48031" s="649"/>
      <c r="E48031" s="649"/>
    </row>
    <row r="48032" spans="1:5" ht="16.5">
      <c r="A48032" s="649"/>
      <c r="B48032" s="649"/>
      <c r="E48032" s="649"/>
    </row>
    <row r="48033" spans="1:5" ht="16.5">
      <c r="A48033" s="649"/>
      <c r="B48033" s="649"/>
      <c r="E48033" s="649"/>
    </row>
    <row r="48034" spans="1:5" ht="16.5">
      <c r="A48034" s="649"/>
      <c r="B48034" s="649"/>
      <c r="E48034" s="649"/>
    </row>
    <row r="48035" spans="1:5" ht="16.5">
      <c r="A48035" s="649"/>
      <c r="B48035" s="649"/>
      <c r="E48035" s="649"/>
    </row>
    <row r="48036" spans="1:5" ht="16.5">
      <c r="A48036" s="649"/>
      <c r="B48036" s="649"/>
      <c r="E48036" s="649"/>
    </row>
    <row r="48037" spans="1:5" ht="16.5">
      <c r="A48037" s="649"/>
      <c r="B48037" s="649"/>
      <c r="E48037" s="649"/>
    </row>
    <row r="48038" spans="1:5" ht="16.5">
      <c r="A48038" s="649"/>
      <c r="B48038" s="649"/>
      <c r="E48038" s="649"/>
    </row>
    <row r="48039" spans="1:5" ht="16.5">
      <c r="A48039" s="649"/>
      <c r="B48039" s="649"/>
      <c r="E48039" s="649"/>
    </row>
    <row r="48040" spans="1:5" ht="16.5">
      <c r="A48040" s="649"/>
      <c r="B48040" s="649"/>
      <c r="E48040" s="649"/>
    </row>
    <row r="48041" spans="1:5" ht="16.5">
      <c r="A48041" s="649"/>
      <c r="B48041" s="649"/>
      <c r="E48041" s="649"/>
    </row>
    <row r="48042" spans="1:5" ht="16.5">
      <c r="A48042" s="649"/>
      <c r="B48042" s="649"/>
      <c r="E48042" s="649"/>
    </row>
    <row r="48043" spans="1:5" ht="16.5">
      <c r="A48043" s="649"/>
      <c r="B48043" s="649"/>
      <c r="E48043" s="649"/>
    </row>
    <row r="48044" spans="1:5" ht="16.5">
      <c r="A48044" s="649"/>
      <c r="B48044" s="649"/>
      <c r="E48044" s="649"/>
    </row>
    <row r="48045" spans="1:5" ht="16.5">
      <c r="A48045" s="649"/>
      <c r="B48045" s="649"/>
      <c r="E48045" s="649"/>
    </row>
    <row r="48046" spans="1:5" ht="16.5">
      <c r="A48046" s="649"/>
      <c r="B48046" s="649"/>
      <c r="E48046" s="649"/>
    </row>
    <row r="48047" spans="1:5" ht="16.5">
      <c r="A48047" s="649"/>
      <c r="B48047" s="649"/>
      <c r="E48047" s="649"/>
    </row>
    <row r="48048" spans="1:5" ht="16.5">
      <c r="A48048" s="649"/>
      <c r="B48048" s="649"/>
      <c r="E48048" s="649"/>
    </row>
    <row r="48049" spans="1:5" ht="16.5">
      <c r="A48049" s="649"/>
      <c r="B48049" s="649"/>
      <c r="E48049" s="649"/>
    </row>
    <row r="48050" spans="1:5" ht="16.5">
      <c r="A48050" s="649"/>
      <c r="B48050" s="649"/>
      <c r="E48050" s="649"/>
    </row>
    <row r="48051" spans="1:5" ht="16.5">
      <c r="A48051" s="649"/>
      <c r="B48051" s="649"/>
      <c r="E48051" s="649"/>
    </row>
    <row r="48052" spans="1:5" ht="16.5">
      <c r="A48052" s="649"/>
      <c r="B48052" s="649"/>
      <c r="E48052" s="649"/>
    </row>
    <row r="48053" spans="1:5" ht="16.5">
      <c r="A48053" s="649"/>
      <c r="B48053" s="649"/>
      <c r="E48053" s="649"/>
    </row>
    <row r="48054" spans="1:5" ht="16.5">
      <c r="A48054" s="649"/>
      <c r="B48054" s="649"/>
      <c r="E48054" s="649"/>
    </row>
    <row r="48055" spans="1:5" ht="16.5">
      <c r="A48055" s="649"/>
      <c r="B48055" s="649"/>
      <c r="E48055" s="649"/>
    </row>
    <row r="48056" spans="1:5" ht="16.5">
      <c r="A48056" s="649"/>
      <c r="B48056" s="649"/>
      <c r="E48056" s="649"/>
    </row>
    <row r="48057" spans="1:5" ht="16.5">
      <c r="A48057" s="649"/>
      <c r="B48057" s="649"/>
      <c r="E48057" s="649"/>
    </row>
    <row r="48058" spans="1:5" ht="16.5">
      <c r="A48058" s="649"/>
      <c r="B48058" s="649"/>
      <c r="E48058" s="649"/>
    </row>
    <row r="48059" spans="1:5" ht="16.5">
      <c r="A48059" s="649"/>
      <c r="B48059" s="649"/>
      <c r="E48059" s="649"/>
    </row>
    <row r="48060" spans="1:5" ht="16.5">
      <c r="A48060" s="649"/>
      <c r="B48060" s="649"/>
      <c r="E48060" s="649"/>
    </row>
    <row r="48061" spans="1:5" ht="16.5">
      <c r="A48061" s="649"/>
      <c r="B48061" s="649"/>
      <c r="E48061" s="649"/>
    </row>
    <row r="48062" spans="1:5" ht="16.5">
      <c r="A48062" s="649"/>
      <c r="B48062" s="649"/>
      <c r="E48062" s="649"/>
    </row>
    <row r="48063" spans="1:5" ht="16.5">
      <c r="A48063" s="649"/>
      <c r="B48063" s="649"/>
      <c r="E48063" s="649"/>
    </row>
    <row r="48064" spans="1:5" ht="16.5">
      <c r="A48064" s="649"/>
      <c r="B48064" s="649"/>
      <c r="E48064" s="649"/>
    </row>
    <row r="48065" spans="1:5" ht="16.5">
      <c r="A48065" s="649"/>
      <c r="B48065" s="649"/>
      <c r="E48065" s="649"/>
    </row>
    <row r="48066" spans="1:5" ht="16.5">
      <c r="A48066" s="649"/>
      <c r="B48066" s="649"/>
      <c r="E48066" s="649"/>
    </row>
    <row r="48067" spans="1:5" ht="16.5">
      <c r="A48067" s="649"/>
      <c r="B48067" s="649"/>
      <c r="E48067" s="649"/>
    </row>
    <row r="48068" spans="1:5" ht="16.5">
      <c r="A48068" s="649"/>
      <c r="B48068" s="649"/>
      <c r="E48068" s="649"/>
    </row>
    <row r="48069" spans="1:5" ht="16.5">
      <c r="A48069" s="649"/>
      <c r="B48069" s="649"/>
      <c r="E48069" s="649"/>
    </row>
    <row r="48070" spans="1:5" ht="16.5">
      <c r="A48070" s="649"/>
      <c r="B48070" s="649"/>
      <c r="E48070" s="649"/>
    </row>
    <row r="48071" spans="1:5" ht="16.5">
      <c r="A48071" s="649"/>
      <c r="B48071" s="649"/>
      <c r="E48071" s="649"/>
    </row>
    <row r="48072" spans="1:5" ht="16.5">
      <c r="A48072" s="649"/>
      <c r="B48072" s="649"/>
      <c r="E48072" s="649"/>
    </row>
    <row r="48073" spans="1:5" ht="16.5">
      <c r="A48073" s="649"/>
      <c r="B48073" s="649"/>
      <c r="E48073" s="649"/>
    </row>
    <row r="48074" spans="1:5" ht="16.5">
      <c r="A48074" s="649"/>
      <c r="B48074" s="649"/>
      <c r="E48074" s="649"/>
    </row>
    <row r="48075" spans="1:5" ht="16.5">
      <c r="A48075" s="649"/>
      <c r="B48075" s="649"/>
      <c r="E48075" s="649"/>
    </row>
    <row r="48076" spans="1:5" ht="16.5">
      <c r="A48076" s="649"/>
      <c r="B48076" s="649"/>
      <c r="E48076" s="649"/>
    </row>
    <row r="48077" spans="1:5" ht="16.5">
      <c r="A48077" s="649"/>
      <c r="B48077" s="649"/>
      <c r="E48077" s="649"/>
    </row>
    <row r="48078" spans="1:5" ht="16.5">
      <c r="A48078" s="649"/>
      <c r="B48078" s="649"/>
      <c r="E48078" s="649"/>
    </row>
    <row r="48079" spans="1:5" ht="16.5">
      <c r="A48079" s="649"/>
      <c r="B48079" s="649"/>
      <c r="E48079" s="649"/>
    </row>
    <row r="48080" spans="1:5" ht="16.5">
      <c r="A48080" s="649"/>
      <c r="B48080" s="649"/>
      <c r="E48080" s="649"/>
    </row>
    <row r="48081" spans="1:5" ht="16.5">
      <c r="A48081" s="649"/>
      <c r="B48081" s="649"/>
      <c r="E48081" s="649"/>
    </row>
    <row r="48082" spans="1:5" ht="16.5">
      <c r="A48082" s="649"/>
      <c r="B48082" s="649"/>
      <c r="E48082" s="649"/>
    </row>
    <row r="48083" spans="1:5" ht="16.5">
      <c r="A48083" s="649"/>
      <c r="B48083" s="649"/>
      <c r="E48083" s="649"/>
    </row>
    <row r="48084" spans="1:5" ht="16.5">
      <c r="A48084" s="649"/>
      <c r="B48084" s="649"/>
      <c r="E48084" s="649"/>
    </row>
    <row r="48085" spans="1:5" ht="16.5">
      <c r="A48085" s="649"/>
      <c r="B48085" s="649"/>
      <c r="E48085" s="649"/>
    </row>
    <row r="48086" spans="1:5" ht="16.5">
      <c r="A48086" s="649"/>
      <c r="B48086" s="649"/>
      <c r="E48086" s="649"/>
    </row>
    <row r="48087" spans="1:5" ht="16.5">
      <c r="A48087" s="649"/>
      <c r="B48087" s="649"/>
      <c r="E48087" s="649"/>
    </row>
    <row r="48088" spans="1:5" ht="16.5">
      <c r="A48088" s="649"/>
      <c r="B48088" s="649"/>
      <c r="E48088" s="649"/>
    </row>
    <row r="48089" spans="1:5" ht="16.5">
      <c r="A48089" s="649"/>
      <c r="B48089" s="649"/>
      <c r="E48089" s="649"/>
    </row>
    <row r="48090" spans="1:5" ht="16.5">
      <c r="A48090" s="649"/>
      <c r="B48090" s="649"/>
      <c r="E48090" s="649"/>
    </row>
    <row r="48091" spans="1:5" ht="16.5">
      <c r="A48091" s="649"/>
      <c r="B48091" s="649"/>
      <c r="E48091" s="649"/>
    </row>
    <row r="48092" spans="1:5" ht="16.5">
      <c r="A48092" s="649"/>
      <c r="B48092" s="649"/>
      <c r="E48092" s="649"/>
    </row>
    <row r="48093" spans="1:5" ht="16.5">
      <c r="A48093" s="649"/>
      <c r="B48093" s="649"/>
      <c r="E48093" s="649"/>
    </row>
    <row r="48094" spans="1:5" ht="16.5">
      <c r="A48094" s="649"/>
      <c r="B48094" s="649"/>
      <c r="E48094" s="649"/>
    </row>
    <row r="48095" spans="1:5" ht="16.5">
      <c r="A48095" s="649"/>
      <c r="B48095" s="649"/>
      <c r="E48095" s="649"/>
    </row>
    <row r="48096" spans="1:5" ht="16.5">
      <c r="A48096" s="649"/>
      <c r="B48096" s="649"/>
      <c r="E48096" s="649"/>
    </row>
    <row r="48097" spans="1:5" ht="16.5">
      <c r="A48097" s="649"/>
      <c r="B48097" s="649"/>
      <c r="E48097" s="649"/>
    </row>
    <row r="48098" spans="1:5" ht="16.5">
      <c r="A48098" s="649"/>
      <c r="B48098" s="649"/>
      <c r="E48098" s="649"/>
    </row>
    <row r="48099" spans="1:5" ht="16.5">
      <c r="A48099" s="649"/>
      <c r="B48099" s="649"/>
      <c r="E48099" s="649"/>
    </row>
    <row r="48100" spans="1:5" ht="16.5">
      <c r="A48100" s="649"/>
      <c r="B48100" s="649"/>
      <c r="E48100" s="649"/>
    </row>
    <row r="48101" spans="1:5" ht="16.5">
      <c r="A48101" s="649"/>
      <c r="B48101" s="649"/>
      <c r="E48101" s="649"/>
    </row>
    <row r="48102" spans="1:5" ht="16.5">
      <c r="A48102" s="649"/>
      <c r="B48102" s="649"/>
      <c r="E48102" s="649"/>
    </row>
    <row r="48103" spans="1:5" ht="16.5">
      <c r="A48103" s="649"/>
      <c r="B48103" s="649"/>
      <c r="E48103" s="649"/>
    </row>
    <row r="48104" spans="1:5" ht="16.5">
      <c r="A48104" s="649"/>
      <c r="B48104" s="649"/>
      <c r="E48104" s="649"/>
    </row>
    <row r="48105" spans="1:5" ht="16.5">
      <c r="A48105" s="649"/>
      <c r="B48105" s="649"/>
      <c r="E48105" s="649"/>
    </row>
    <row r="48106" spans="1:5" ht="16.5">
      <c r="A48106" s="649"/>
      <c r="B48106" s="649"/>
      <c r="E48106" s="649"/>
    </row>
    <row r="48107" spans="1:5" ht="16.5">
      <c r="A48107" s="649"/>
      <c r="B48107" s="649"/>
      <c r="E48107" s="649"/>
    </row>
    <row r="48108" spans="1:5" ht="16.5">
      <c r="A48108" s="649"/>
      <c r="B48108" s="649"/>
      <c r="E48108" s="649"/>
    </row>
    <row r="48109" spans="1:5" ht="16.5">
      <c r="A48109" s="649"/>
      <c r="B48109" s="649"/>
      <c r="E48109" s="649"/>
    </row>
    <row r="48110" spans="1:5" ht="16.5">
      <c r="A48110" s="649"/>
      <c r="B48110" s="649"/>
      <c r="E48110" s="649"/>
    </row>
    <row r="48111" spans="1:5" ht="16.5">
      <c r="A48111" s="649"/>
      <c r="B48111" s="649"/>
      <c r="E48111" s="649"/>
    </row>
    <row r="48112" spans="1:5" ht="16.5">
      <c r="A48112" s="649"/>
      <c r="B48112" s="649"/>
      <c r="E48112" s="649"/>
    </row>
    <row r="48113" spans="1:5" ht="16.5">
      <c r="A48113" s="649"/>
      <c r="B48113" s="649"/>
      <c r="E48113" s="649"/>
    </row>
    <row r="48114" spans="1:5" ht="16.5">
      <c r="A48114" s="649"/>
      <c r="B48114" s="649"/>
      <c r="E48114" s="649"/>
    </row>
    <row r="48115" spans="1:5" ht="16.5">
      <c r="A48115" s="649"/>
      <c r="B48115" s="649"/>
      <c r="E48115" s="649"/>
    </row>
    <row r="48116" spans="1:5" ht="16.5">
      <c r="A48116" s="649"/>
      <c r="B48116" s="649"/>
      <c r="E48116" s="649"/>
    </row>
    <row r="48117" spans="1:5" ht="16.5">
      <c r="A48117" s="649"/>
      <c r="B48117" s="649"/>
      <c r="E48117" s="649"/>
    </row>
    <row r="48118" spans="1:5" ht="16.5">
      <c r="A48118" s="649"/>
      <c r="B48118" s="649"/>
      <c r="E48118" s="649"/>
    </row>
    <row r="48119" spans="1:5" ht="16.5">
      <c r="A48119" s="649"/>
      <c r="B48119" s="649"/>
      <c r="E48119" s="649"/>
    </row>
    <row r="48120" spans="1:5" ht="16.5">
      <c r="A48120" s="649"/>
      <c r="B48120" s="649"/>
      <c r="E48120" s="649"/>
    </row>
    <row r="48121" spans="1:5" ht="16.5">
      <c r="A48121" s="649"/>
      <c r="B48121" s="649"/>
      <c r="E48121" s="649"/>
    </row>
    <row r="48122" spans="1:5" ht="16.5">
      <c r="A48122" s="649"/>
      <c r="B48122" s="649"/>
      <c r="E48122" s="649"/>
    </row>
    <row r="48123" spans="1:5" ht="16.5">
      <c r="A48123" s="649"/>
      <c r="B48123" s="649"/>
      <c r="E48123" s="649"/>
    </row>
    <row r="48124" spans="1:5" ht="16.5">
      <c r="A48124" s="649"/>
      <c r="B48124" s="649"/>
      <c r="E48124" s="649"/>
    </row>
    <row r="48125" spans="1:5" ht="16.5">
      <c r="A48125" s="649"/>
      <c r="B48125" s="649"/>
      <c r="E48125" s="649"/>
    </row>
    <row r="48126" spans="1:5" ht="16.5">
      <c r="A48126" s="649"/>
      <c r="B48126" s="649"/>
      <c r="E48126" s="649"/>
    </row>
    <row r="48127" spans="1:5" ht="16.5">
      <c r="A48127" s="649"/>
      <c r="B48127" s="649"/>
      <c r="E48127" s="649"/>
    </row>
    <row r="48128" spans="1:5" ht="16.5">
      <c r="A48128" s="649"/>
      <c r="B48128" s="649"/>
      <c r="E48128" s="649"/>
    </row>
    <row r="48129" spans="1:5" ht="16.5">
      <c r="A48129" s="649"/>
      <c r="B48129" s="649"/>
      <c r="E48129" s="649"/>
    </row>
    <row r="48130" spans="1:5" ht="16.5">
      <c r="A48130" s="649"/>
      <c r="B48130" s="649"/>
      <c r="E48130" s="649"/>
    </row>
    <row r="48131" spans="1:5" ht="16.5">
      <c r="A48131" s="649"/>
      <c r="B48131" s="649"/>
      <c r="E48131" s="649"/>
    </row>
    <row r="48132" spans="1:5" ht="16.5">
      <c r="A48132" s="649"/>
      <c r="B48132" s="649"/>
      <c r="E48132" s="649"/>
    </row>
    <row r="48133" spans="1:5" ht="16.5">
      <c r="A48133" s="649"/>
      <c r="B48133" s="649"/>
      <c r="E48133" s="649"/>
    </row>
    <row r="48134" spans="1:5" ht="16.5">
      <c r="A48134" s="649"/>
      <c r="B48134" s="649"/>
      <c r="E48134" s="649"/>
    </row>
    <row r="48135" spans="1:5" ht="16.5">
      <c r="A48135" s="649"/>
      <c r="B48135" s="649"/>
      <c r="E48135" s="649"/>
    </row>
    <row r="48136" spans="1:5" ht="16.5">
      <c r="A48136" s="649"/>
      <c r="B48136" s="649"/>
      <c r="E48136" s="649"/>
    </row>
    <row r="48137" spans="1:5" ht="16.5">
      <c r="A48137" s="649"/>
      <c r="B48137" s="649"/>
      <c r="E48137" s="649"/>
    </row>
    <row r="48138" spans="1:5" ht="16.5">
      <c r="A48138" s="649"/>
      <c r="B48138" s="649"/>
      <c r="E48138" s="649"/>
    </row>
    <row r="48139" spans="1:5" ht="16.5">
      <c r="A48139" s="649"/>
      <c r="B48139" s="649"/>
      <c r="E48139" s="649"/>
    </row>
    <row r="48140" spans="1:5" ht="16.5">
      <c r="A48140" s="649"/>
      <c r="B48140" s="649"/>
      <c r="E48140" s="649"/>
    </row>
    <row r="48141" spans="1:5" ht="16.5">
      <c r="A48141" s="649"/>
      <c r="B48141" s="649"/>
      <c r="E48141" s="649"/>
    </row>
    <row r="48142" spans="1:5" ht="16.5">
      <c r="A48142" s="649"/>
      <c r="B48142" s="649"/>
      <c r="E48142" s="649"/>
    </row>
    <row r="48143" spans="1:5" ht="16.5">
      <c r="A48143" s="649"/>
      <c r="B48143" s="649"/>
      <c r="E48143" s="649"/>
    </row>
    <row r="48144" spans="1:5" ht="16.5">
      <c r="A48144" s="649"/>
      <c r="B48144" s="649"/>
      <c r="E48144" s="649"/>
    </row>
    <row r="48145" spans="1:5" ht="16.5">
      <c r="A48145" s="649"/>
      <c r="B48145" s="649"/>
      <c r="E48145" s="649"/>
    </row>
    <row r="48146" spans="1:5" ht="16.5">
      <c r="A48146" s="649"/>
      <c r="B48146" s="649"/>
      <c r="E48146" s="649"/>
    </row>
    <row r="48147" spans="1:5" ht="16.5">
      <c r="A48147" s="649"/>
      <c r="B48147" s="649"/>
      <c r="E48147" s="649"/>
    </row>
    <row r="48148" spans="1:5" ht="16.5">
      <c r="A48148" s="649"/>
      <c r="B48148" s="649"/>
      <c r="E48148" s="649"/>
    </row>
    <row r="48149" spans="1:5" ht="16.5">
      <c r="A48149" s="649"/>
      <c r="B48149" s="649"/>
      <c r="E48149" s="649"/>
    </row>
    <row r="48150" spans="1:5" ht="16.5">
      <c r="A48150" s="649"/>
      <c r="B48150" s="649"/>
      <c r="E48150" s="649"/>
    </row>
    <row r="48151" spans="1:5" ht="16.5">
      <c r="A48151" s="649"/>
      <c r="B48151" s="649"/>
      <c r="E48151" s="649"/>
    </row>
    <row r="48152" spans="1:5" ht="16.5">
      <c r="A48152" s="649"/>
      <c r="B48152" s="649"/>
      <c r="E48152" s="649"/>
    </row>
    <row r="48153" spans="1:5" ht="16.5">
      <c r="A48153" s="649"/>
      <c r="B48153" s="649"/>
      <c r="E48153" s="649"/>
    </row>
    <row r="48154" spans="1:5" ht="16.5">
      <c r="A48154" s="649"/>
      <c r="B48154" s="649"/>
      <c r="E48154" s="649"/>
    </row>
    <row r="48155" spans="1:5" ht="16.5">
      <c r="A48155" s="649"/>
      <c r="B48155" s="649"/>
      <c r="E48155" s="649"/>
    </row>
    <row r="48156" spans="1:5" ht="16.5">
      <c r="A48156" s="649"/>
      <c r="B48156" s="649"/>
      <c r="E48156" s="649"/>
    </row>
    <row r="48157" spans="1:5" ht="16.5">
      <c r="A48157" s="649"/>
      <c r="B48157" s="649"/>
      <c r="E48157" s="649"/>
    </row>
    <row r="48158" spans="1:5" ht="16.5">
      <c r="A48158" s="649"/>
      <c r="B48158" s="649"/>
      <c r="E48158" s="649"/>
    </row>
    <row r="48159" spans="1:5" ht="16.5">
      <c r="A48159" s="649"/>
      <c r="B48159" s="649"/>
      <c r="E48159" s="649"/>
    </row>
    <row r="48160" spans="1:5" ht="16.5">
      <c r="A48160" s="649"/>
      <c r="B48160" s="649"/>
      <c r="E48160" s="649"/>
    </row>
    <row r="48161" spans="1:5" ht="16.5">
      <c r="A48161" s="649"/>
      <c r="B48161" s="649"/>
      <c r="E48161" s="649"/>
    </row>
    <row r="48162" spans="1:5" ht="16.5">
      <c r="A48162" s="649"/>
      <c r="B48162" s="649"/>
      <c r="E48162" s="649"/>
    </row>
    <row r="48163" spans="1:5" ht="16.5">
      <c r="A48163" s="649"/>
      <c r="B48163" s="649"/>
      <c r="E48163" s="649"/>
    </row>
    <row r="48164" spans="1:5" ht="16.5">
      <c r="A48164" s="649"/>
      <c r="B48164" s="649"/>
      <c r="E48164" s="649"/>
    </row>
    <row r="48165" spans="1:5" ht="16.5">
      <c r="A48165" s="649"/>
      <c r="B48165" s="649"/>
      <c r="E48165" s="649"/>
    </row>
    <row r="48166" spans="1:5" ht="16.5">
      <c r="A48166" s="649"/>
      <c r="B48166" s="649"/>
      <c r="E48166" s="649"/>
    </row>
    <row r="48167" spans="1:5" ht="16.5">
      <c r="A48167" s="649"/>
      <c r="B48167" s="649"/>
      <c r="E48167" s="649"/>
    </row>
    <row r="48168" spans="1:5" ht="16.5">
      <c r="A48168" s="649"/>
      <c r="B48168" s="649"/>
      <c r="E48168" s="649"/>
    </row>
    <row r="48169" spans="1:5" ht="16.5">
      <c r="A48169" s="649"/>
      <c r="B48169" s="649"/>
      <c r="E48169" s="649"/>
    </row>
    <row r="48170" spans="1:5" ht="16.5">
      <c r="A48170" s="649"/>
      <c r="B48170" s="649"/>
      <c r="E48170" s="649"/>
    </row>
    <row r="48171" spans="1:5" ht="16.5">
      <c r="A48171" s="649"/>
      <c r="B48171" s="649"/>
      <c r="E48171" s="649"/>
    </row>
    <row r="48172" spans="1:5" ht="16.5">
      <c r="A48172" s="649"/>
      <c r="B48172" s="649"/>
      <c r="E48172" s="649"/>
    </row>
    <row r="48173" spans="1:5" ht="16.5">
      <c r="A48173" s="649"/>
      <c r="B48173" s="649"/>
      <c r="E48173" s="649"/>
    </row>
    <row r="48174" spans="1:5" ht="16.5">
      <c r="A48174" s="649"/>
      <c r="B48174" s="649"/>
      <c r="E48174" s="649"/>
    </row>
    <row r="48175" spans="1:5" ht="16.5">
      <c r="A48175" s="649"/>
      <c r="B48175" s="649"/>
      <c r="E48175" s="649"/>
    </row>
    <row r="48176" spans="1:5" ht="16.5">
      <c r="A48176" s="649"/>
      <c r="B48176" s="649"/>
      <c r="E48176" s="649"/>
    </row>
    <row r="48177" spans="1:5" ht="16.5">
      <c r="A48177" s="649"/>
      <c r="B48177" s="649"/>
      <c r="E48177" s="649"/>
    </row>
    <row r="48178" spans="1:5" ht="16.5">
      <c r="A48178" s="649"/>
      <c r="B48178" s="649"/>
      <c r="E48178" s="649"/>
    </row>
    <row r="48179" spans="1:5" ht="16.5">
      <c r="A48179" s="649"/>
      <c r="B48179" s="649"/>
      <c r="E48179" s="649"/>
    </row>
    <row r="48180" spans="1:5" ht="16.5">
      <c r="A48180" s="649"/>
      <c r="B48180" s="649"/>
      <c r="E48180" s="649"/>
    </row>
    <row r="48181" spans="1:5" ht="16.5">
      <c r="A48181" s="649"/>
      <c r="B48181" s="649"/>
      <c r="E48181" s="649"/>
    </row>
    <row r="48182" spans="1:5" ht="16.5">
      <c r="A48182" s="649"/>
      <c r="B48182" s="649"/>
      <c r="E48182" s="649"/>
    </row>
    <row r="48183" spans="1:5" ht="16.5">
      <c r="A48183" s="649"/>
      <c r="B48183" s="649"/>
      <c r="E48183" s="649"/>
    </row>
    <row r="48184" spans="1:5" ht="16.5">
      <c r="A48184" s="649"/>
      <c r="B48184" s="649"/>
      <c r="E48184" s="649"/>
    </row>
    <row r="48185" spans="1:5" ht="16.5">
      <c r="A48185" s="649"/>
      <c r="B48185" s="649"/>
      <c r="E48185" s="649"/>
    </row>
    <row r="48186" spans="1:5" ht="16.5">
      <c r="A48186" s="649"/>
      <c r="B48186" s="649"/>
      <c r="E48186" s="649"/>
    </row>
    <row r="48187" spans="1:5" ht="16.5">
      <c r="A48187" s="649"/>
      <c r="B48187" s="649"/>
      <c r="E48187" s="649"/>
    </row>
    <row r="48188" spans="1:5" ht="16.5">
      <c r="A48188" s="649"/>
      <c r="B48188" s="649"/>
      <c r="E48188" s="649"/>
    </row>
    <row r="48189" spans="1:5" ht="16.5">
      <c r="A48189" s="649"/>
      <c r="B48189" s="649"/>
      <c r="E48189" s="649"/>
    </row>
    <row r="48190" spans="1:5" ht="16.5">
      <c r="A48190" s="649"/>
      <c r="B48190" s="649"/>
      <c r="E48190" s="649"/>
    </row>
    <row r="48191" spans="1:5" ht="16.5">
      <c r="A48191" s="649"/>
      <c r="B48191" s="649"/>
      <c r="E48191" s="649"/>
    </row>
    <row r="48192" spans="1:5" ht="16.5">
      <c r="A48192" s="649"/>
      <c r="B48192" s="649"/>
      <c r="E48192" s="649"/>
    </row>
    <row r="48193" spans="1:5" ht="16.5">
      <c r="A48193" s="649"/>
      <c r="B48193" s="649"/>
      <c r="E48193" s="649"/>
    </row>
    <row r="48194" spans="1:5" ht="16.5">
      <c r="A48194" s="649"/>
      <c r="B48194" s="649"/>
      <c r="E48194" s="649"/>
    </row>
    <row r="48195" spans="1:5" ht="16.5">
      <c r="A48195" s="649"/>
      <c r="B48195" s="649"/>
      <c r="E48195" s="649"/>
    </row>
    <row r="48196" spans="1:5" ht="16.5">
      <c r="A48196" s="649"/>
      <c r="B48196" s="649"/>
      <c r="E48196" s="649"/>
    </row>
    <row r="48197" spans="1:5" ht="16.5">
      <c r="A48197" s="649"/>
      <c r="B48197" s="649"/>
      <c r="E48197" s="649"/>
    </row>
    <row r="48198" spans="1:5" ht="16.5">
      <c r="A48198" s="649"/>
      <c r="B48198" s="649"/>
      <c r="E48198" s="649"/>
    </row>
    <row r="48199" spans="1:5" ht="16.5">
      <c r="A48199" s="649"/>
      <c r="B48199" s="649"/>
      <c r="E48199" s="649"/>
    </row>
    <row r="48200" spans="1:5" ht="16.5">
      <c r="A48200" s="649"/>
      <c r="B48200" s="649"/>
      <c r="E48200" s="649"/>
    </row>
    <row r="48201" spans="1:5" ht="16.5">
      <c r="A48201" s="649"/>
      <c r="B48201" s="649"/>
      <c r="E48201" s="649"/>
    </row>
    <row r="48202" spans="1:5" ht="16.5">
      <c r="A48202" s="649"/>
      <c r="B48202" s="649"/>
      <c r="E48202" s="649"/>
    </row>
    <row r="48203" spans="1:5" ht="16.5">
      <c r="A48203" s="649"/>
      <c r="B48203" s="649"/>
      <c r="E48203" s="649"/>
    </row>
    <row r="48204" spans="1:5" ht="16.5">
      <c r="A48204" s="649"/>
      <c r="B48204" s="649"/>
      <c r="E48204" s="649"/>
    </row>
    <row r="48205" spans="1:5" ht="16.5">
      <c r="A48205" s="649"/>
      <c r="B48205" s="649"/>
      <c r="E48205" s="649"/>
    </row>
    <row r="48206" spans="1:5" ht="16.5">
      <c r="A48206" s="649"/>
      <c r="B48206" s="649"/>
      <c r="E48206" s="649"/>
    </row>
    <row r="48207" spans="1:5" ht="16.5">
      <c r="A48207" s="649"/>
      <c r="B48207" s="649"/>
      <c r="E48207" s="649"/>
    </row>
    <row r="48208" spans="1:5" ht="16.5">
      <c r="A48208" s="649"/>
      <c r="B48208" s="649"/>
      <c r="E48208" s="649"/>
    </row>
    <row r="48209" spans="1:5" ht="16.5">
      <c r="A48209" s="649"/>
      <c r="B48209" s="649"/>
      <c r="E48209" s="649"/>
    </row>
    <row r="48210" spans="1:5" ht="16.5">
      <c r="A48210" s="649"/>
      <c r="B48210" s="649"/>
      <c r="E48210" s="649"/>
    </row>
    <row r="48211" spans="1:5" ht="16.5">
      <c r="A48211" s="649"/>
      <c r="B48211" s="649"/>
      <c r="E48211" s="649"/>
    </row>
    <row r="48212" spans="1:5" ht="16.5">
      <c r="A48212" s="649"/>
      <c r="B48212" s="649"/>
      <c r="E48212" s="649"/>
    </row>
    <row r="48213" spans="1:5" ht="16.5">
      <c r="A48213" s="649"/>
      <c r="B48213" s="649"/>
      <c r="E48213" s="649"/>
    </row>
    <row r="48214" spans="1:5" ht="16.5">
      <c r="A48214" s="649"/>
      <c r="B48214" s="649"/>
      <c r="E48214" s="649"/>
    </row>
    <row r="48215" spans="1:5" ht="16.5">
      <c r="A48215" s="649"/>
      <c r="B48215" s="649"/>
      <c r="E48215" s="649"/>
    </row>
    <row r="48216" spans="1:5" ht="16.5">
      <c r="A48216" s="649"/>
      <c r="B48216" s="649"/>
      <c r="E48216" s="649"/>
    </row>
    <row r="48217" spans="1:5" ht="16.5">
      <c r="A48217" s="649"/>
      <c r="B48217" s="649"/>
      <c r="E48217" s="649"/>
    </row>
    <row r="48218" spans="1:5" ht="16.5">
      <c r="A48218" s="649"/>
      <c r="B48218" s="649"/>
      <c r="E48218" s="649"/>
    </row>
    <row r="48219" spans="1:5" ht="16.5">
      <c r="A48219" s="649"/>
      <c r="B48219" s="649"/>
      <c r="E48219" s="649"/>
    </row>
    <row r="48220" spans="1:5" ht="16.5">
      <c r="A48220" s="649"/>
      <c r="B48220" s="649"/>
      <c r="E48220" s="649"/>
    </row>
    <row r="48221" spans="1:5" ht="16.5">
      <c r="A48221" s="649"/>
      <c r="B48221" s="649"/>
      <c r="E48221" s="649"/>
    </row>
    <row r="48222" spans="1:5" ht="16.5">
      <c r="A48222" s="649"/>
      <c r="B48222" s="649"/>
      <c r="E48222" s="649"/>
    </row>
    <row r="48223" spans="1:5" ht="16.5">
      <c r="A48223" s="649"/>
      <c r="B48223" s="649"/>
      <c r="E48223" s="649"/>
    </row>
    <row r="48224" spans="1:5" ht="16.5">
      <c r="A48224" s="649"/>
      <c r="B48224" s="649"/>
      <c r="E48224" s="649"/>
    </row>
    <row r="48225" spans="1:5" ht="16.5">
      <c r="A48225" s="649"/>
      <c r="B48225" s="649"/>
      <c r="E48225" s="649"/>
    </row>
    <row r="48226" spans="1:5" ht="16.5">
      <c r="A48226" s="649"/>
      <c r="B48226" s="649"/>
      <c r="E48226" s="649"/>
    </row>
    <row r="48227" spans="1:5" ht="16.5">
      <c r="A48227" s="649"/>
      <c r="B48227" s="649"/>
      <c r="E48227" s="649"/>
    </row>
    <row r="48228" spans="1:5" ht="16.5">
      <c r="A48228" s="649"/>
      <c r="B48228" s="649"/>
      <c r="E48228" s="649"/>
    </row>
    <row r="48229" spans="1:5" ht="16.5">
      <c r="A48229" s="649"/>
      <c r="B48229" s="649"/>
      <c r="E48229" s="649"/>
    </row>
    <row r="48230" spans="1:5" ht="16.5">
      <c r="A48230" s="649"/>
      <c r="B48230" s="649"/>
      <c r="E48230" s="649"/>
    </row>
    <row r="48231" spans="1:5" ht="16.5">
      <c r="A48231" s="649"/>
      <c r="B48231" s="649"/>
      <c r="E48231" s="649"/>
    </row>
    <row r="48232" spans="1:5" ht="16.5">
      <c r="A48232" s="649"/>
      <c r="B48232" s="649"/>
      <c r="E48232" s="649"/>
    </row>
    <row r="48233" spans="1:5" ht="16.5">
      <c r="A48233" s="649"/>
      <c r="B48233" s="649"/>
      <c r="E48233" s="649"/>
    </row>
    <row r="48234" spans="1:5" ht="16.5">
      <c r="A48234" s="649"/>
      <c r="B48234" s="649"/>
      <c r="E48234" s="649"/>
    </row>
    <row r="48235" spans="1:5" ht="16.5">
      <c r="A48235" s="649"/>
      <c r="B48235" s="649"/>
      <c r="E48235" s="649"/>
    </row>
    <row r="48236" spans="1:5" ht="16.5">
      <c r="A48236" s="649"/>
      <c r="B48236" s="649"/>
      <c r="E48236" s="649"/>
    </row>
    <row r="48237" spans="1:5" ht="16.5">
      <c r="A48237" s="649"/>
      <c r="B48237" s="649"/>
      <c r="E48237" s="649"/>
    </row>
    <row r="48238" spans="1:5" ht="16.5">
      <c r="A48238" s="649"/>
      <c r="B48238" s="649"/>
      <c r="E48238" s="649"/>
    </row>
    <row r="48239" spans="1:5" ht="16.5">
      <c r="A48239" s="649"/>
      <c r="B48239" s="649"/>
      <c r="E48239" s="649"/>
    </row>
    <row r="48240" spans="1:5" ht="16.5">
      <c r="A48240" s="649"/>
      <c r="B48240" s="649"/>
      <c r="E48240" s="649"/>
    </row>
    <row r="48241" spans="1:5" ht="16.5">
      <c r="A48241" s="649"/>
      <c r="B48241" s="649"/>
      <c r="E48241" s="649"/>
    </row>
    <row r="48242" spans="1:5" ht="16.5">
      <c r="A48242" s="649"/>
      <c r="B48242" s="649"/>
      <c r="E48242" s="649"/>
    </row>
    <row r="48243" spans="1:5" ht="16.5">
      <c r="A48243" s="649"/>
      <c r="B48243" s="649"/>
      <c r="E48243" s="649"/>
    </row>
    <row r="48244" spans="1:5" ht="16.5">
      <c r="A48244" s="649"/>
      <c r="B48244" s="649"/>
      <c r="E48244" s="649"/>
    </row>
    <row r="48245" spans="1:5" ht="16.5">
      <c r="A48245" s="649"/>
      <c r="B48245" s="649"/>
      <c r="E48245" s="649"/>
    </row>
    <row r="48246" spans="1:5" ht="16.5">
      <c r="A48246" s="649"/>
      <c r="B48246" s="649"/>
      <c r="E48246" s="649"/>
    </row>
    <row r="48247" spans="1:5" ht="16.5">
      <c r="A48247" s="649"/>
      <c r="B48247" s="649"/>
      <c r="E48247" s="649"/>
    </row>
    <row r="48248" spans="1:5" ht="16.5">
      <c r="A48248" s="649"/>
      <c r="B48248" s="649"/>
      <c r="E48248" s="649"/>
    </row>
    <row r="48249" spans="1:5" ht="16.5">
      <c r="A48249" s="649"/>
      <c r="B48249" s="649"/>
      <c r="E48249" s="649"/>
    </row>
    <row r="48250" spans="1:5" ht="16.5">
      <c r="A48250" s="649"/>
      <c r="B48250" s="649"/>
      <c r="E48250" s="649"/>
    </row>
    <row r="48251" spans="1:5" ht="16.5">
      <c r="A48251" s="649"/>
      <c r="B48251" s="649"/>
      <c r="E48251" s="649"/>
    </row>
    <row r="48252" spans="1:5" ht="16.5">
      <c r="A48252" s="649"/>
      <c r="B48252" s="649"/>
      <c r="E48252" s="649"/>
    </row>
    <row r="48253" spans="1:5" ht="16.5">
      <c r="A48253" s="649"/>
      <c r="B48253" s="649"/>
      <c r="E48253" s="649"/>
    </row>
    <row r="48254" spans="1:5" ht="16.5">
      <c r="A48254" s="649"/>
      <c r="B48254" s="649"/>
      <c r="E48254" s="649"/>
    </row>
    <row r="48255" spans="1:5" ht="16.5">
      <c r="A48255" s="649"/>
      <c r="B48255" s="649"/>
      <c r="E48255" s="649"/>
    </row>
    <row r="48256" spans="1:5" ht="16.5">
      <c r="A48256" s="649"/>
      <c r="B48256" s="649"/>
      <c r="E48256" s="649"/>
    </row>
    <row r="48257" spans="1:5" ht="16.5">
      <c r="A48257" s="649"/>
      <c r="B48257" s="649"/>
      <c r="E48257" s="649"/>
    </row>
    <row r="48258" spans="1:5" ht="16.5">
      <c r="A48258" s="649"/>
      <c r="B48258" s="649"/>
      <c r="E48258" s="649"/>
    </row>
    <row r="48259" spans="1:5" ht="16.5">
      <c r="A48259" s="649"/>
      <c r="B48259" s="649"/>
      <c r="E48259" s="649"/>
    </row>
    <row r="48260" spans="1:5" ht="16.5">
      <c r="A48260" s="649"/>
      <c r="B48260" s="649"/>
      <c r="E48260" s="649"/>
    </row>
    <row r="48261" spans="1:5" ht="16.5">
      <c r="A48261" s="649"/>
      <c r="B48261" s="649"/>
      <c r="E48261" s="649"/>
    </row>
    <row r="48262" spans="1:5" ht="16.5">
      <c r="A48262" s="649"/>
      <c r="B48262" s="649"/>
      <c r="E48262" s="649"/>
    </row>
    <row r="48263" spans="1:5" ht="16.5">
      <c r="A48263" s="649"/>
      <c r="B48263" s="649"/>
      <c r="E48263" s="649"/>
    </row>
    <row r="48264" spans="1:5" ht="16.5">
      <c r="A48264" s="649"/>
      <c r="B48264" s="649"/>
      <c r="E48264" s="649"/>
    </row>
    <row r="48265" spans="1:5" ht="16.5">
      <c r="A48265" s="649"/>
      <c r="B48265" s="649"/>
      <c r="E48265" s="649"/>
    </row>
    <row r="48266" spans="1:5" ht="16.5">
      <c r="A48266" s="649"/>
      <c r="B48266" s="649"/>
      <c r="E48266" s="649"/>
    </row>
    <row r="48267" spans="1:5" ht="16.5">
      <c r="A48267" s="649"/>
      <c r="B48267" s="649"/>
      <c r="E48267" s="649"/>
    </row>
    <row r="48268" spans="1:5" ht="16.5">
      <c r="A48268" s="649"/>
      <c r="B48268" s="649"/>
      <c r="E48268" s="649"/>
    </row>
    <row r="48269" spans="1:5" ht="16.5">
      <c r="A48269" s="649"/>
      <c r="B48269" s="649"/>
      <c r="E48269" s="649"/>
    </row>
    <row r="48270" spans="1:5" ht="16.5">
      <c r="A48270" s="649"/>
      <c r="B48270" s="649"/>
      <c r="E48270" s="649"/>
    </row>
    <row r="48271" spans="1:5" ht="16.5">
      <c r="A48271" s="649"/>
      <c r="B48271" s="649"/>
      <c r="E48271" s="649"/>
    </row>
    <row r="48272" spans="1:5" ht="16.5">
      <c r="A48272" s="649"/>
      <c r="B48272" s="649"/>
      <c r="E48272" s="649"/>
    </row>
    <row r="48273" spans="1:5" ht="16.5">
      <c r="A48273" s="649"/>
      <c r="B48273" s="649"/>
      <c r="E48273" s="649"/>
    </row>
    <row r="48274" spans="1:5" ht="16.5">
      <c r="A48274" s="649"/>
      <c r="B48274" s="649"/>
      <c r="E48274" s="649"/>
    </row>
    <row r="48275" spans="1:5" ht="16.5">
      <c r="A48275" s="649"/>
      <c r="B48275" s="649"/>
      <c r="E48275" s="649"/>
    </row>
    <row r="48276" spans="1:5" ht="16.5">
      <c r="A48276" s="649"/>
      <c r="B48276" s="649"/>
      <c r="E48276" s="649"/>
    </row>
    <row r="48277" spans="1:5" ht="16.5">
      <c r="A48277" s="649"/>
      <c r="B48277" s="649"/>
      <c r="E48277" s="649"/>
    </row>
    <row r="48278" spans="1:5" ht="16.5">
      <c r="A48278" s="649"/>
      <c r="B48278" s="649"/>
      <c r="E48278" s="649"/>
    </row>
    <row r="48279" spans="1:5" ht="16.5">
      <c r="A48279" s="649"/>
      <c r="B48279" s="649"/>
      <c r="E48279" s="649"/>
    </row>
    <row r="48280" spans="1:5" ht="16.5">
      <c r="A48280" s="649"/>
      <c r="B48280" s="649"/>
      <c r="E48280" s="649"/>
    </row>
    <row r="48281" spans="1:5" ht="16.5">
      <c r="A48281" s="649"/>
      <c r="B48281" s="649"/>
      <c r="E48281" s="649"/>
    </row>
    <row r="48282" spans="1:5" ht="16.5">
      <c r="A48282" s="649"/>
      <c r="B48282" s="649"/>
      <c r="E48282" s="649"/>
    </row>
    <row r="48283" spans="1:5" ht="16.5">
      <c r="A48283" s="649"/>
      <c r="B48283" s="649"/>
      <c r="E48283" s="649"/>
    </row>
    <row r="48284" spans="1:5" ht="16.5">
      <c r="A48284" s="649"/>
      <c r="B48284" s="649"/>
      <c r="E48284" s="649"/>
    </row>
    <row r="48285" spans="1:5" ht="16.5">
      <c r="A48285" s="649"/>
      <c r="B48285" s="649"/>
      <c r="E48285" s="649"/>
    </row>
    <row r="48286" spans="1:5" ht="16.5">
      <c r="A48286" s="649"/>
      <c r="B48286" s="649"/>
      <c r="E48286" s="649"/>
    </row>
    <row r="48287" spans="1:5" ht="16.5">
      <c r="A48287" s="649"/>
      <c r="B48287" s="649"/>
      <c r="E48287" s="649"/>
    </row>
    <row r="48288" spans="1:5" ht="16.5">
      <c r="A48288" s="649"/>
      <c r="B48288" s="649"/>
      <c r="E48288" s="649"/>
    </row>
    <row r="48289" spans="1:5" ht="16.5">
      <c r="A48289" s="649"/>
      <c r="B48289" s="649"/>
      <c r="E48289" s="649"/>
    </row>
    <row r="48290" spans="1:5" ht="16.5">
      <c r="A48290" s="649"/>
      <c r="B48290" s="649"/>
      <c r="E48290" s="649"/>
    </row>
    <row r="48291" spans="1:5" ht="16.5">
      <c r="A48291" s="649"/>
      <c r="B48291" s="649"/>
      <c r="E48291" s="649"/>
    </row>
    <row r="48292" spans="1:5" ht="16.5">
      <c r="A48292" s="649"/>
      <c r="B48292" s="649"/>
      <c r="E48292" s="649"/>
    </row>
    <row r="48293" spans="1:5" ht="16.5">
      <c r="A48293" s="649"/>
      <c r="B48293" s="649"/>
      <c r="E48293" s="649"/>
    </row>
    <row r="48294" spans="1:5" ht="16.5">
      <c r="A48294" s="649"/>
      <c r="B48294" s="649"/>
      <c r="E48294" s="649"/>
    </row>
    <row r="48295" spans="1:5" ht="16.5">
      <c r="A48295" s="649"/>
      <c r="B48295" s="649"/>
      <c r="E48295" s="649"/>
    </row>
    <row r="48296" spans="1:5" ht="16.5">
      <c r="A48296" s="649"/>
      <c r="B48296" s="649"/>
      <c r="E48296" s="649"/>
    </row>
    <row r="48297" spans="1:5" ht="16.5">
      <c r="A48297" s="649"/>
      <c r="B48297" s="649"/>
      <c r="E48297" s="649"/>
    </row>
    <row r="48298" spans="1:5" ht="16.5">
      <c r="A48298" s="649"/>
      <c r="B48298" s="649"/>
      <c r="E48298" s="649"/>
    </row>
    <row r="48299" spans="1:5" ht="16.5">
      <c r="A48299" s="649"/>
      <c r="B48299" s="649"/>
      <c r="E48299" s="649"/>
    </row>
    <row r="48300" spans="1:5" ht="16.5">
      <c r="A48300" s="649"/>
      <c r="B48300" s="649"/>
      <c r="E48300" s="649"/>
    </row>
    <row r="48301" spans="1:5" ht="16.5">
      <c r="A48301" s="649"/>
      <c r="B48301" s="649"/>
      <c r="E48301" s="649"/>
    </row>
    <row r="48302" spans="1:5" ht="16.5">
      <c r="A48302" s="649"/>
      <c r="B48302" s="649"/>
      <c r="E48302" s="649"/>
    </row>
    <row r="48303" spans="1:5" ht="16.5">
      <c r="A48303" s="649"/>
      <c r="B48303" s="649"/>
      <c r="E48303" s="649"/>
    </row>
    <row r="48304" spans="1:5" ht="16.5">
      <c r="A48304" s="649"/>
      <c r="B48304" s="649"/>
      <c r="E48304" s="649"/>
    </row>
    <row r="48305" spans="1:5" ht="16.5">
      <c r="A48305" s="649"/>
      <c r="B48305" s="649"/>
      <c r="E48305" s="649"/>
    </row>
    <row r="48306" spans="1:5" ht="16.5">
      <c r="A48306" s="649"/>
      <c r="B48306" s="649"/>
      <c r="E48306" s="649"/>
    </row>
    <row r="48307" spans="1:5" ht="16.5">
      <c r="A48307" s="649"/>
      <c r="B48307" s="649"/>
      <c r="E48307" s="649"/>
    </row>
    <row r="48308" spans="1:5" ht="16.5">
      <c r="A48308" s="649"/>
      <c r="B48308" s="649"/>
      <c r="E48308" s="649"/>
    </row>
    <row r="48309" spans="1:5" ht="16.5">
      <c r="A48309" s="649"/>
      <c r="B48309" s="649"/>
      <c r="E48309" s="649"/>
    </row>
    <row r="48310" spans="1:5" ht="16.5">
      <c r="A48310" s="649"/>
      <c r="B48310" s="649"/>
      <c r="E48310" s="649"/>
    </row>
    <row r="48311" spans="1:5" ht="16.5">
      <c r="A48311" s="649"/>
      <c r="B48311" s="649"/>
      <c r="E48311" s="649"/>
    </row>
    <row r="48312" spans="1:5" ht="16.5">
      <c r="A48312" s="649"/>
      <c r="B48312" s="649"/>
      <c r="E48312" s="649"/>
    </row>
    <row r="48313" spans="1:5" ht="16.5">
      <c r="A48313" s="649"/>
      <c r="B48313" s="649"/>
      <c r="E48313" s="649"/>
    </row>
    <row r="48314" spans="1:5" ht="16.5">
      <c r="A48314" s="649"/>
      <c r="B48314" s="649"/>
      <c r="E48314" s="649"/>
    </row>
    <row r="48315" spans="1:5" ht="16.5">
      <c r="A48315" s="649"/>
      <c r="B48315" s="649"/>
      <c r="E48315" s="649"/>
    </row>
    <row r="48316" spans="1:5" ht="16.5">
      <c r="A48316" s="649"/>
      <c r="B48316" s="649"/>
      <c r="E48316" s="649"/>
    </row>
    <row r="48317" spans="1:5" ht="16.5">
      <c r="A48317" s="649"/>
      <c r="B48317" s="649"/>
      <c r="E48317" s="649"/>
    </row>
    <row r="48318" spans="1:5" ht="16.5">
      <c r="A48318" s="649"/>
      <c r="B48318" s="649"/>
      <c r="E48318" s="649"/>
    </row>
    <row r="48319" spans="1:5" ht="16.5">
      <c r="A48319" s="649"/>
      <c r="B48319" s="649"/>
      <c r="E48319" s="649"/>
    </row>
    <row r="48320" spans="1:5" ht="16.5">
      <c r="A48320" s="649"/>
      <c r="B48320" s="649"/>
      <c r="E48320" s="649"/>
    </row>
    <row r="48321" spans="1:5" ht="16.5">
      <c r="A48321" s="649"/>
      <c r="B48321" s="649"/>
      <c r="E48321" s="649"/>
    </row>
    <row r="48322" spans="1:5" ht="16.5">
      <c r="A48322" s="649"/>
      <c r="B48322" s="649"/>
      <c r="E48322" s="649"/>
    </row>
    <row r="48323" spans="1:5" ht="16.5">
      <c r="A48323" s="649"/>
      <c r="B48323" s="649"/>
      <c r="E48323" s="649"/>
    </row>
    <row r="48324" spans="1:5" ht="16.5">
      <c r="A48324" s="649"/>
      <c r="B48324" s="649"/>
      <c r="E48324" s="649"/>
    </row>
    <row r="48325" spans="1:5" ht="16.5">
      <c r="A48325" s="649"/>
      <c r="B48325" s="649"/>
      <c r="E48325" s="649"/>
    </row>
    <row r="48326" spans="1:5" ht="16.5">
      <c r="A48326" s="649"/>
      <c r="B48326" s="649"/>
      <c r="E48326" s="649"/>
    </row>
    <row r="48327" spans="1:5" ht="16.5">
      <c r="A48327" s="649"/>
      <c r="B48327" s="649"/>
      <c r="E48327" s="649"/>
    </row>
    <row r="48328" spans="1:5" ht="16.5">
      <c r="A48328" s="649"/>
      <c r="B48328" s="649"/>
      <c r="E48328" s="649"/>
    </row>
    <row r="48329" spans="1:5" ht="16.5">
      <c r="A48329" s="649"/>
      <c r="B48329" s="649"/>
      <c r="E48329" s="649"/>
    </row>
    <row r="48330" spans="1:5" ht="16.5">
      <c r="A48330" s="649"/>
      <c r="B48330" s="649"/>
      <c r="E48330" s="649"/>
    </row>
    <row r="48331" spans="1:5" ht="16.5">
      <c r="A48331" s="649"/>
      <c r="B48331" s="649"/>
      <c r="E48331" s="649"/>
    </row>
    <row r="48332" spans="1:5" ht="16.5">
      <c r="A48332" s="649"/>
      <c r="B48332" s="649"/>
      <c r="E48332" s="649"/>
    </row>
    <row r="48333" spans="1:5" ht="16.5">
      <c r="A48333" s="649"/>
      <c r="B48333" s="649"/>
      <c r="E48333" s="649"/>
    </row>
    <row r="48334" spans="1:5" ht="16.5">
      <c r="A48334" s="649"/>
      <c r="B48334" s="649"/>
      <c r="E48334" s="649"/>
    </row>
    <row r="48335" spans="1:5" ht="16.5">
      <c r="A48335" s="649"/>
      <c r="B48335" s="649"/>
      <c r="E48335" s="649"/>
    </row>
    <row r="48336" spans="1:5" ht="16.5">
      <c r="A48336" s="649"/>
      <c r="B48336" s="649"/>
      <c r="E48336" s="649"/>
    </row>
    <row r="48337" spans="1:5" ht="16.5">
      <c r="A48337" s="649"/>
      <c r="B48337" s="649"/>
      <c r="E48337" s="649"/>
    </row>
    <row r="48338" spans="1:5" ht="16.5">
      <c r="A48338" s="649"/>
      <c r="B48338" s="649"/>
      <c r="E48338" s="649"/>
    </row>
    <row r="48339" spans="1:5" ht="16.5">
      <c r="A48339" s="649"/>
      <c r="B48339" s="649"/>
      <c r="E48339" s="649"/>
    </row>
    <row r="48340" spans="1:5" ht="16.5">
      <c r="A48340" s="649"/>
      <c r="B48340" s="649"/>
      <c r="E48340" s="649"/>
    </row>
    <row r="48341" spans="1:5" ht="16.5">
      <c r="A48341" s="649"/>
      <c r="B48341" s="649"/>
      <c r="E48341" s="649"/>
    </row>
    <row r="48342" spans="1:5" ht="16.5">
      <c r="A48342" s="649"/>
      <c r="B48342" s="649"/>
      <c r="E48342" s="649"/>
    </row>
    <row r="48343" spans="1:5" ht="16.5">
      <c r="A48343" s="649"/>
      <c r="B48343" s="649"/>
      <c r="E48343" s="649"/>
    </row>
    <row r="48344" spans="1:5" ht="16.5">
      <c r="A48344" s="649"/>
      <c r="B48344" s="649"/>
      <c r="E48344" s="649"/>
    </row>
    <row r="48345" spans="1:5" ht="16.5">
      <c r="A48345" s="649"/>
      <c r="B48345" s="649"/>
      <c r="E48345" s="649"/>
    </row>
    <row r="48346" spans="1:5" ht="16.5">
      <c r="A48346" s="649"/>
      <c r="B48346" s="649"/>
      <c r="E48346" s="649"/>
    </row>
    <row r="48347" spans="1:5" ht="16.5">
      <c r="A48347" s="649"/>
      <c r="B48347" s="649"/>
      <c r="E48347" s="649"/>
    </row>
    <row r="48348" spans="1:5" ht="16.5">
      <c r="A48348" s="649"/>
      <c r="B48348" s="649"/>
      <c r="E48348" s="649"/>
    </row>
    <row r="48349" spans="1:5" ht="16.5">
      <c r="A48349" s="649"/>
      <c r="B48349" s="649"/>
      <c r="E48349" s="649"/>
    </row>
    <row r="48350" spans="1:5" ht="16.5">
      <c r="A48350" s="649"/>
      <c r="B48350" s="649"/>
      <c r="E48350" s="649"/>
    </row>
    <row r="48351" spans="1:5" ht="16.5">
      <c r="A48351" s="649"/>
      <c r="B48351" s="649"/>
      <c r="E48351" s="649"/>
    </row>
    <row r="48352" spans="1:5" ht="16.5">
      <c r="A48352" s="649"/>
      <c r="B48352" s="649"/>
      <c r="E48352" s="649"/>
    </row>
    <row r="48353" spans="1:5" ht="16.5">
      <c r="A48353" s="649"/>
      <c r="B48353" s="649"/>
      <c r="E48353" s="649"/>
    </row>
    <row r="48354" spans="1:5" ht="16.5">
      <c r="A48354" s="649"/>
      <c r="B48354" s="649"/>
      <c r="E48354" s="649"/>
    </row>
    <row r="48355" spans="1:5" ht="16.5">
      <c r="A48355" s="649"/>
      <c r="B48355" s="649"/>
      <c r="E48355" s="649"/>
    </row>
    <row r="48356" spans="1:5" ht="16.5">
      <c r="A48356" s="649"/>
      <c r="B48356" s="649"/>
      <c r="E48356" s="649"/>
    </row>
    <row r="48357" spans="1:5" ht="16.5">
      <c r="A48357" s="649"/>
      <c r="B48357" s="649"/>
      <c r="E48357" s="649"/>
    </row>
    <row r="48358" spans="1:5" ht="16.5">
      <c r="A48358" s="649"/>
      <c r="B48358" s="649"/>
      <c r="E48358" s="649"/>
    </row>
    <row r="48359" spans="1:5" ht="16.5">
      <c r="A48359" s="649"/>
      <c r="B48359" s="649"/>
      <c r="E48359" s="649"/>
    </row>
    <row r="48360" spans="1:5" ht="16.5">
      <c r="A48360" s="649"/>
      <c r="B48360" s="649"/>
      <c r="E48360" s="649"/>
    </row>
    <row r="48361" spans="1:5" ht="16.5">
      <c r="A48361" s="649"/>
      <c r="B48361" s="649"/>
      <c r="E48361" s="649"/>
    </row>
    <row r="48362" spans="1:5" ht="16.5">
      <c r="A48362" s="649"/>
      <c r="B48362" s="649"/>
      <c r="E48362" s="649"/>
    </row>
    <row r="48363" spans="1:5" ht="16.5">
      <c r="A48363" s="649"/>
      <c r="B48363" s="649"/>
      <c r="E48363" s="649"/>
    </row>
    <row r="48364" spans="1:5" ht="16.5">
      <c r="A48364" s="649"/>
      <c r="B48364" s="649"/>
      <c r="E48364" s="649"/>
    </row>
    <row r="48365" spans="1:5" ht="16.5">
      <c r="A48365" s="649"/>
      <c r="B48365" s="649"/>
      <c r="E48365" s="649"/>
    </row>
    <row r="48366" spans="1:5" ht="16.5">
      <c r="A48366" s="649"/>
      <c r="B48366" s="649"/>
      <c r="E48366" s="649"/>
    </row>
    <row r="48367" spans="1:5" ht="16.5">
      <c r="A48367" s="649"/>
      <c r="B48367" s="649"/>
      <c r="E48367" s="649"/>
    </row>
    <row r="48368" spans="1:5" ht="16.5">
      <c r="A48368" s="649"/>
      <c r="B48368" s="649"/>
      <c r="E48368" s="649"/>
    </row>
    <row r="48369" spans="1:5" ht="16.5">
      <c r="A48369" s="649"/>
      <c r="B48369" s="649"/>
      <c r="E48369" s="649"/>
    </row>
    <row r="48370" spans="1:5" ht="16.5">
      <c r="A48370" s="649"/>
      <c r="B48370" s="649"/>
      <c r="E48370" s="649"/>
    </row>
    <row r="48371" spans="1:5" ht="16.5">
      <c r="A48371" s="649"/>
      <c r="B48371" s="649"/>
      <c r="E48371" s="649"/>
    </row>
    <row r="48372" spans="1:5" ht="16.5">
      <c r="A48372" s="649"/>
      <c r="B48372" s="649"/>
      <c r="E48372" s="649"/>
    </row>
    <row r="48373" spans="1:5" ht="16.5">
      <c r="A48373" s="649"/>
      <c r="B48373" s="649"/>
      <c r="E48373" s="649"/>
    </row>
    <row r="48374" spans="1:5" ht="16.5">
      <c r="A48374" s="649"/>
      <c r="B48374" s="649"/>
      <c r="E48374" s="649"/>
    </row>
    <row r="48375" spans="1:5" ht="16.5">
      <c r="A48375" s="649"/>
      <c r="B48375" s="649"/>
      <c r="E48375" s="649"/>
    </row>
    <row r="48376" spans="1:5" ht="16.5">
      <c r="A48376" s="649"/>
      <c r="B48376" s="649"/>
      <c r="E48376" s="649"/>
    </row>
    <row r="48377" spans="1:5" ht="16.5">
      <c r="A48377" s="649"/>
      <c r="B48377" s="649"/>
      <c r="E48377" s="649"/>
    </row>
    <row r="48378" spans="1:5" ht="16.5">
      <c r="A48378" s="649"/>
      <c r="B48378" s="649"/>
      <c r="E48378" s="649"/>
    </row>
    <row r="48379" spans="1:5" ht="16.5">
      <c r="A48379" s="649"/>
      <c r="B48379" s="649"/>
      <c r="E48379" s="649"/>
    </row>
    <row r="48380" spans="1:5" ht="16.5">
      <c r="A48380" s="649"/>
      <c r="B48380" s="649"/>
      <c r="E48380" s="649"/>
    </row>
    <row r="48381" spans="1:5" ht="16.5">
      <c r="A48381" s="649"/>
      <c r="B48381" s="649"/>
      <c r="E48381" s="649"/>
    </row>
    <row r="48382" spans="1:5" ht="16.5">
      <c r="A48382" s="649"/>
      <c r="B48382" s="649"/>
      <c r="E48382" s="649"/>
    </row>
    <row r="48383" spans="1:5" ht="16.5">
      <c r="A48383" s="649"/>
      <c r="B48383" s="649"/>
      <c r="E48383" s="649"/>
    </row>
    <row r="48384" spans="1:5" ht="16.5">
      <c r="A48384" s="649"/>
      <c r="B48384" s="649"/>
      <c r="E48384" s="649"/>
    </row>
    <row r="48385" spans="1:5" ht="16.5">
      <c r="A48385" s="649"/>
      <c r="B48385" s="649"/>
      <c r="E48385" s="649"/>
    </row>
    <row r="48386" spans="1:5" ht="16.5">
      <c r="A48386" s="649"/>
      <c r="B48386" s="649"/>
      <c r="E48386" s="649"/>
    </row>
    <row r="48387" spans="1:5" ht="16.5">
      <c r="A48387" s="649"/>
      <c r="B48387" s="649"/>
      <c r="E48387" s="649"/>
    </row>
    <row r="48388" spans="1:5" ht="16.5">
      <c r="A48388" s="649"/>
      <c r="B48388" s="649"/>
      <c r="E48388" s="649"/>
    </row>
    <row r="48389" spans="1:5" ht="16.5">
      <c r="A48389" s="649"/>
      <c r="B48389" s="649"/>
      <c r="E48389" s="649"/>
    </row>
    <row r="48390" spans="1:5" ht="16.5">
      <c r="A48390" s="649"/>
      <c r="B48390" s="649"/>
      <c r="E48390" s="649"/>
    </row>
    <row r="48391" spans="1:5" ht="16.5">
      <c r="A48391" s="649"/>
      <c r="B48391" s="649"/>
      <c r="E48391" s="649"/>
    </row>
    <row r="48392" spans="1:5" ht="16.5">
      <c r="A48392" s="649"/>
      <c r="B48392" s="649"/>
      <c r="E48392" s="649"/>
    </row>
    <row r="48393" spans="1:5" ht="16.5">
      <c r="A48393" s="649"/>
      <c r="B48393" s="649"/>
      <c r="E48393" s="649"/>
    </row>
    <row r="48394" spans="1:5" ht="16.5">
      <c r="A48394" s="649"/>
      <c r="B48394" s="649"/>
      <c r="E48394" s="649"/>
    </row>
    <row r="48395" spans="1:5" ht="16.5">
      <c r="A48395" s="649"/>
      <c r="B48395" s="649"/>
      <c r="E48395" s="649"/>
    </row>
    <row r="48396" spans="1:5" ht="16.5">
      <c r="A48396" s="649"/>
      <c r="B48396" s="649"/>
      <c r="E48396" s="649"/>
    </row>
    <row r="48397" spans="1:5" ht="16.5">
      <c r="A48397" s="649"/>
      <c r="B48397" s="649"/>
      <c r="E48397" s="649"/>
    </row>
    <row r="48398" spans="1:5" ht="16.5">
      <c r="A48398" s="649"/>
      <c r="B48398" s="649"/>
      <c r="E48398" s="649"/>
    </row>
    <row r="48399" spans="1:5" ht="16.5">
      <c r="A48399" s="649"/>
      <c r="B48399" s="649"/>
      <c r="E48399" s="649"/>
    </row>
    <row r="48400" spans="1:5" ht="16.5">
      <c r="A48400" s="649"/>
      <c r="B48400" s="649"/>
      <c r="E48400" s="649"/>
    </row>
    <row r="48401" spans="1:5" ht="16.5">
      <c r="A48401" s="649"/>
      <c r="B48401" s="649"/>
      <c r="E48401" s="649"/>
    </row>
    <row r="48402" spans="1:5" ht="16.5">
      <c r="A48402" s="649"/>
      <c r="B48402" s="649"/>
      <c r="E48402" s="649"/>
    </row>
    <row r="48403" spans="1:5" ht="16.5">
      <c r="A48403" s="649"/>
      <c r="B48403" s="649"/>
      <c r="E48403" s="649"/>
    </row>
    <row r="48404" spans="1:5" ht="16.5">
      <c r="A48404" s="649"/>
      <c r="B48404" s="649"/>
      <c r="E48404" s="649"/>
    </row>
    <row r="48405" spans="1:5" ht="16.5">
      <c r="A48405" s="649"/>
      <c r="B48405" s="649"/>
      <c r="E48405" s="649"/>
    </row>
    <row r="48406" spans="1:5" ht="16.5">
      <c r="A48406" s="649"/>
      <c r="B48406" s="649"/>
      <c r="E48406" s="649"/>
    </row>
    <row r="48407" spans="1:5" ht="16.5">
      <c r="A48407" s="649"/>
      <c r="B48407" s="649"/>
      <c r="E48407" s="649"/>
    </row>
    <row r="48408" spans="1:5" ht="16.5">
      <c r="A48408" s="649"/>
      <c r="B48408" s="649"/>
      <c r="E48408" s="649"/>
    </row>
    <row r="48409" spans="1:5" ht="16.5">
      <c r="A48409" s="649"/>
      <c r="B48409" s="649"/>
      <c r="E48409" s="649"/>
    </row>
    <row r="48410" spans="1:5" ht="16.5">
      <c r="A48410" s="649"/>
      <c r="B48410" s="649"/>
      <c r="E48410" s="649"/>
    </row>
    <row r="48411" spans="1:5" ht="16.5">
      <c r="A48411" s="649"/>
      <c r="B48411" s="649"/>
      <c r="E48411" s="649"/>
    </row>
    <row r="48412" spans="1:5" ht="16.5">
      <c r="A48412" s="649"/>
      <c r="B48412" s="649"/>
      <c r="E48412" s="649"/>
    </row>
    <row r="48413" spans="1:5" ht="16.5">
      <c r="A48413" s="649"/>
      <c r="B48413" s="649"/>
      <c r="E48413" s="649"/>
    </row>
    <row r="48414" spans="1:5" ht="16.5">
      <c r="A48414" s="649"/>
      <c r="B48414" s="649"/>
      <c r="E48414" s="649"/>
    </row>
    <row r="48415" spans="1:5" ht="16.5">
      <c r="A48415" s="649"/>
      <c r="B48415" s="649"/>
      <c r="E48415" s="649"/>
    </row>
    <row r="48416" spans="1:5" ht="16.5">
      <c r="A48416" s="649"/>
      <c r="B48416" s="649"/>
      <c r="E48416" s="649"/>
    </row>
    <row r="48417" spans="1:5" ht="16.5">
      <c r="A48417" s="649"/>
      <c r="B48417" s="649"/>
      <c r="E48417" s="649"/>
    </row>
    <row r="48418" spans="1:5" ht="16.5">
      <c r="A48418" s="649"/>
      <c r="B48418" s="649"/>
      <c r="E48418" s="649"/>
    </row>
    <row r="48419" spans="1:5" ht="16.5">
      <c r="A48419" s="649"/>
      <c r="B48419" s="649"/>
      <c r="E48419" s="649"/>
    </row>
    <row r="48420" spans="1:5" ht="16.5">
      <c r="A48420" s="649"/>
      <c r="B48420" s="649"/>
      <c r="E48420" s="649"/>
    </row>
    <row r="48421" spans="1:5" ht="16.5">
      <c r="A48421" s="649"/>
      <c r="B48421" s="649"/>
      <c r="E48421" s="649"/>
    </row>
    <row r="48422" spans="1:5" ht="16.5">
      <c r="A48422" s="649"/>
      <c r="B48422" s="649"/>
      <c r="E48422" s="649"/>
    </row>
    <row r="48423" spans="1:5" ht="16.5">
      <c r="A48423" s="649"/>
      <c r="B48423" s="649"/>
      <c r="E48423" s="649"/>
    </row>
    <row r="48424" spans="1:5" ht="16.5">
      <c r="A48424" s="649"/>
      <c r="B48424" s="649"/>
      <c r="E48424" s="649"/>
    </row>
    <row r="48425" spans="1:5" ht="16.5">
      <c r="A48425" s="649"/>
      <c r="B48425" s="649"/>
      <c r="E48425" s="649"/>
    </row>
    <row r="48426" spans="1:5" ht="16.5">
      <c r="A48426" s="649"/>
      <c r="B48426" s="649"/>
      <c r="E48426" s="649"/>
    </row>
    <row r="48427" spans="1:5" ht="16.5">
      <c r="A48427" s="649"/>
      <c r="B48427" s="649"/>
      <c r="E48427" s="649"/>
    </row>
    <row r="48428" spans="1:5" ht="16.5">
      <c r="A48428" s="649"/>
      <c r="B48428" s="649"/>
      <c r="E48428" s="649"/>
    </row>
    <row r="48429" spans="1:5" ht="16.5">
      <c r="A48429" s="649"/>
      <c r="B48429" s="649"/>
      <c r="E48429" s="649"/>
    </row>
    <row r="48430" spans="1:5" ht="16.5">
      <c r="A48430" s="649"/>
      <c r="B48430" s="649"/>
      <c r="E48430" s="649"/>
    </row>
    <row r="48431" spans="1:5" ht="16.5">
      <c r="A48431" s="649"/>
      <c r="B48431" s="649"/>
      <c r="E48431" s="649"/>
    </row>
    <row r="48432" spans="1:5" ht="16.5">
      <c r="A48432" s="649"/>
      <c r="B48432" s="649"/>
      <c r="E48432" s="649"/>
    </row>
    <row r="48433" spans="1:5" ht="16.5">
      <c r="A48433" s="649"/>
      <c r="B48433" s="649"/>
      <c r="E48433" s="649"/>
    </row>
    <row r="48434" spans="1:5" ht="16.5">
      <c r="A48434" s="649"/>
      <c r="B48434" s="649"/>
      <c r="E48434" s="649"/>
    </row>
    <row r="48435" spans="1:5" ht="16.5">
      <c r="A48435" s="649"/>
      <c r="B48435" s="649"/>
      <c r="E48435" s="649"/>
    </row>
    <row r="48436" spans="1:5" ht="16.5">
      <c r="A48436" s="649"/>
      <c r="B48436" s="649"/>
      <c r="E48436" s="649"/>
    </row>
    <row r="48437" spans="1:5" ht="16.5">
      <c r="A48437" s="649"/>
      <c r="B48437" s="649"/>
      <c r="E48437" s="649"/>
    </row>
    <row r="48438" spans="1:5" ht="16.5">
      <c r="A48438" s="649"/>
      <c r="B48438" s="649"/>
      <c r="E48438" s="649"/>
    </row>
    <row r="48439" spans="1:5" ht="16.5">
      <c r="A48439" s="649"/>
      <c r="B48439" s="649"/>
      <c r="E48439" s="649"/>
    </row>
    <row r="48440" spans="1:5" ht="16.5">
      <c r="A48440" s="649"/>
      <c r="B48440" s="649"/>
      <c r="E48440" s="649"/>
    </row>
    <row r="48441" spans="1:5" ht="16.5">
      <c r="A48441" s="649"/>
      <c r="B48441" s="649"/>
      <c r="E48441" s="649"/>
    </row>
    <row r="48442" spans="1:5" ht="16.5">
      <c r="A48442" s="649"/>
      <c r="B48442" s="649"/>
      <c r="E48442" s="649"/>
    </row>
    <row r="48443" spans="1:5" ht="16.5">
      <c r="A48443" s="649"/>
      <c r="B48443" s="649"/>
      <c r="E48443" s="649"/>
    </row>
    <row r="48444" spans="1:5" ht="16.5">
      <c r="A48444" s="649"/>
      <c r="B48444" s="649"/>
      <c r="E48444" s="649"/>
    </row>
    <row r="48445" spans="1:5" ht="16.5">
      <c r="A48445" s="649"/>
      <c r="B48445" s="649"/>
      <c r="E48445" s="649"/>
    </row>
    <row r="48446" spans="1:5" ht="16.5">
      <c r="A48446" s="649"/>
      <c r="B48446" s="649"/>
      <c r="E48446" s="649"/>
    </row>
    <row r="48447" spans="1:5" ht="16.5">
      <c r="A48447" s="649"/>
      <c r="B48447" s="649"/>
      <c r="E48447" s="649"/>
    </row>
    <row r="48448" spans="1:5" ht="16.5">
      <c r="A48448" s="649"/>
      <c r="B48448" s="649"/>
      <c r="E48448" s="649"/>
    </row>
    <row r="48449" spans="1:5" ht="16.5">
      <c r="A48449" s="649"/>
      <c r="B48449" s="649"/>
      <c r="E48449" s="649"/>
    </row>
    <row r="48450" spans="1:5" ht="16.5">
      <c r="A48450" s="649"/>
      <c r="B48450" s="649"/>
      <c r="E48450" s="649"/>
    </row>
    <row r="48451" spans="1:5" ht="16.5">
      <c r="A48451" s="649"/>
      <c r="B48451" s="649"/>
      <c r="E48451" s="649"/>
    </row>
    <row r="48452" spans="1:5" ht="16.5">
      <c r="A48452" s="649"/>
      <c r="B48452" s="649"/>
      <c r="E48452" s="649"/>
    </row>
    <row r="48453" spans="1:5" ht="16.5">
      <c r="A48453" s="649"/>
      <c r="B48453" s="649"/>
      <c r="E48453" s="649"/>
    </row>
    <row r="48454" spans="1:5" ht="16.5">
      <c r="A48454" s="649"/>
      <c r="B48454" s="649"/>
      <c r="E48454" s="649"/>
    </row>
    <row r="48455" spans="1:5" ht="16.5">
      <c r="A48455" s="649"/>
      <c r="B48455" s="649"/>
      <c r="E48455" s="649"/>
    </row>
    <row r="48456" spans="1:5" ht="16.5">
      <c r="A48456" s="649"/>
      <c r="B48456" s="649"/>
      <c r="E48456" s="649"/>
    </row>
    <row r="48457" spans="1:5" ht="16.5">
      <c r="A48457" s="649"/>
      <c r="B48457" s="649"/>
      <c r="E48457" s="649"/>
    </row>
    <row r="48458" spans="1:5" ht="16.5">
      <c r="A48458" s="649"/>
      <c r="B48458" s="649"/>
      <c r="E48458" s="649"/>
    </row>
    <row r="48459" spans="1:5" ht="16.5">
      <c r="A48459" s="649"/>
      <c r="B48459" s="649"/>
      <c r="E48459" s="649"/>
    </row>
    <row r="48460" spans="1:5" ht="16.5">
      <c r="A48460" s="649"/>
      <c r="B48460" s="649"/>
      <c r="E48460" s="649"/>
    </row>
    <row r="48461" spans="1:5" ht="16.5">
      <c r="A48461" s="649"/>
      <c r="B48461" s="649"/>
      <c r="E48461" s="649"/>
    </row>
    <row r="48462" spans="1:5" ht="16.5">
      <c r="A48462" s="649"/>
      <c r="B48462" s="649"/>
      <c r="E48462" s="649"/>
    </row>
    <row r="48463" spans="1:5" ht="16.5">
      <c r="A48463" s="649"/>
      <c r="B48463" s="649"/>
      <c r="E48463" s="649"/>
    </row>
    <row r="48464" spans="1:5" ht="16.5">
      <c r="A48464" s="649"/>
      <c r="B48464" s="649"/>
      <c r="E48464" s="649"/>
    </row>
    <row r="48465" spans="1:5" ht="16.5">
      <c r="A48465" s="649"/>
      <c r="B48465" s="649"/>
      <c r="E48465" s="649"/>
    </row>
    <row r="48466" spans="1:5" ht="16.5">
      <c r="A48466" s="649"/>
      <c r="B48466" s="649"/>
      <c r="E48466" s="649"/>
    </row>
    <row r="48467" spans="1:5" ht="16.5">
      <c r="A48467" s="649"/>
      <c r="B48467" s="649"/>
      <c r="E48467" s="649"/>
    </row>
    <row r="48468" spans="1:5" ht="16.5">
      <c r="A48468" s="649"/>
      <c r="B48468" s="649"/>
      <c r="E48468" s="649"/>
    </row>
    <row r="48469" spans="1:5" ht="16.5">
      <c r="A48469" s="649"/>
      <c r="B48469" s="649"/>
      <c r="E48469" s="649"/>
    </row>
    <row r="48470" spans="1:5" ht="16.5">
      <c r="A48470" s="649"/>
      <c r="B48470" s="649"/>
      <c r="E48470" s="649"/>
    </row>
    <row r="48471" spans="1:5" ht="16.5">
      <c r="A48471" s="649"/>
      <c r="B48471" s="649"/>
      <c r="E48471" s="649"/>
    </row>
    <row r="48472" spans="1:5" ht="16.5">
      <c r="A48472" s="649"/>
      <c r="B48472" s="649"/>
      <c r="E48472" s="649"/>
    </row>
    <row r="48473" spans="1:5" ht="16.5">
      <c r="A48473" s="649"/>
      <c r="B48473" s="649"/>
      <c r="E48473" s="649"/>
    </row>
    <row r="48474" spans="1:5" ht="16.5">
      <c r="A48474" s="649"/>
      <c r="B48474" s="649"/>
      <c r="E48474" s="649"/>
    </row>
    <row r="48475" spans="1:5" ht="16.5">
      <c r="A48475" s="649"/>
      <c r="B48475" s="649"/>
      <c r="E48475" s="649"/>
    </row>
    <row r="48476" spans="1:5" ht="16.5">
      <c r="A48476" s="649"/>
      <c r="B48476" s="649"/>
      <c r="E48476" s="649"/>
    </row>
    <row r="48477" spans="1:5" ht="16.5">
      <c r="A48477" s="649"/>
      <c r="B48477" s="649"/>
      <c r="E48477" s="649"/>
    </row>
    <row r="48478" spans="1:5" ht="16.5">
      <c r="A48478" s="649"/>
      <c r="B48478" s="649"/>
      <c r="E48478" s="649"/>
    </row>
    <row r="48479" spans="1:5" ht="16.5">
      <c r="A48479" s="649"/>
      <c r="B48479" s="649"/>
      <c r="E48479" s="649"/>
    </row>
    <row r="48480" spans="1:5" ht="16.5">
      <c r="A48480" s="649"/>
      <c r="B48480" s="649"/>
      <c r="E48480" s="649"/>
    </row>
    <row r="48481" spans="1:5" ht="16.5">
      <c r="A48481" s="649"/>
      <c r="B48481" s="649"/>
      <c r="E48481" s="649"/>
    </row>
    <row r="48482" spans="1:5" ht="16.5">
      <c r="A48482" s="649"/>
      <c r="B48482" s="649"/>
      <c r="E48482" s="649"/>
    </row>
    <row r="48483" spans="1:5" ht="16.5">
      <c r="A48483" s="649"/>
      <c r="B48483" s="649"/>
      <c r="E48483" s="649"/>
    </row>
    <row r="48484" spans="1:5" ht="16.5">
      <c r="A48484" s="649"/>
      <c r="B48484" s="649"/>
      <c r="E48484" s="649"/>
    </row>
    <row r="48485" spans="1:5" ht="16.5">
      <c r="A48485" s="649"/>
      <c r="B48485" s="649"/>
      <c r="E48485" s="649"/>
    </row>
    <row r="48486" spans="1:5" ht="16.5">
      <c r="A48486" s="649"/>
      <c r="B48486" s="649"/>
      <c r="E48486" s="649"/>
    </row>
    <row r="48487" spans="1:5" ht="16.5">
      <c r="A48487" s="649"/>
      <c r="B48487" s="649"/>
      <c r="E48487" s="649"/>
    </row>
    <row r="48488" spans="1:5" ht="16.5">
      <c r="A48488" s="649"/>
      <c r="B48488" s="649"/>
      <c r="E48488" s="649"/>
    </row>
    <row r="48489" spans="1:5" ht="16.5">
      <c r="A48489" s="649"/>
      <c r="B48489" s="649"/>
      <c r="E48489" s="649"/>
    </row>
    <row r="48490" spans="1:5" ht="16.5">
      <c r="A48490" s="649"/>
      <c r="B48490" s="649"/>
      <c r="E48490" s="649"/>
    </row>
    <row r="48491" spans="1:5" ht="16.5">
      <c r="A48491" s="649"/>
      <c r="B48491" s="649"/>
      <c r="E48491" s="649"/>
    </row>
    <row r="48492" spans="1:5" ht="16.5">
      <c r="A48492" s="649"/>
      <c r="B48492" s="649"/>
      <c r="E48492" s="649"/>
    </row>
    <row r="48493" spans="1:5" ht="16.5">
      <c r="A48493" s="649"/>
      <c r="B48493" s="649"/>
      <c r="E48493" s="649"/>
    </row>
    <row r="48494" spans="1:5" ht="16.5">
      <c r="A48494" s="649"/>
      <c r="B48494" s="649"/>
      <c r="E48494" s="649"/>
    </row>
    <row r="48495" spans="1:5" ht="16.5">
      <c r="A48495" s="649"/>
      <c r="B48495" s="649"/>
      <c r="E48495" s="649"/>
    </row>
    <row r="48496" spans="1:5" ht="16.5">
      <c r="A48496" s="649"/>
      <c r="B48496" s="649"/>
      <c r="E48496" s="649"/>
    </row>
    <row r="48497" spans="1:5" ht="16.5">
      <c r="A48497" s="649"/>
      <c r="B48497" s="649"/>
      <c r="E48497" s="649"/>
    </row>
    <row r="48498" spans="1:5" ht="16.5">
      <c r="A48498" s="649"/>
      <c r="B48498" s="649"/>
      <c r="E48498" s="649"/>
    </row>
    <row r="48499" spans="1:5" ht="16.5">
      <c r="A48499" s="649"/>
      <c r="B48499" s="649"/>
      <c r="E48499" s="649"/>
    </row>
    <row r="48500" spans="1:5" ht="16.5">
      <c r="A48500" s="649"/>
      <c r="B48500" s="649"/>
      <c r="E48500" s="649"/>
    </row>
    <row r="48501" spans="1:5" ht="16.5">
      <c r="A48501" s="649"/>
      <c r="B48501" s="649"/>
      <c r="E48501" s="649"/>
    </row>
    <row r="48502" spans="1:5" ht="16.5">
      <c r="A48502" s="649"/>
      <c r="B48502" s="649"/>
      <c r="E48502" s="649"/>
    </row>
    <row r="48503" spans="1:5" ht="16.5">
      <c r="A48503" s="649"/>
      <c r="B48503" s="649"/>
      <c r="E48503" s="649"/>
    </row>
    <row r="48504" spans="1:5" ht="16.5">
      <c r="A48504" s="649"/>
      <c r="B48504" s="649"/>
      <c r="E48504" s="649"/>
    </row>
    <row r="48505" spans="1:5" ht="16.5">
      <c r="A48505" s="649"/>
      <c r="B48505" s="649"/>
      <c r="E48505" s="649"/>
    </row>
    <row r="48506" spans="1:5" ht="16.5">
      <c r="A48506" s="649"/>
      <c r="B48506" s="649"/>
      <c r="E48506" s="649"/>
    </row>
    <row r="48507" spans="1:5" ht="16.5">
      <c r="A48507" s="649"/>
      <c r="B48507" s="649"/>
      <c r="E48507" s="649"/>
    </row>
    <row r="48508" spans="1:5" ht="16.5">
      <c r="A48508" s="649"/>
      <c r="B48508" s="649"/>
      <c r="E48508" s="649"/>
    </row>
    <row r="48509" spans="1:5" ht="16.5">
      <c r="A48509" s="649"/>
      <c r="B48509" s="649"/>
      <c r="E48509" s="649"/>
    </row>
    <row r="48510" spans="1:5" ht="16.5">
      <c r="A48510" s="649"/>
      <c r="B48510" s="649"/>
      <c r="E48510" s="649"/>
    </row>
    <row r="48511" spans="1:5" ht="16.5">
      <c r="A48511" s="649"/>
      <c r="B48511" s="649"/>
      <c r="E48511" s="649"/>
    </row>
    <row r="48512" spans="1:5" ht="16.5">
      <c r="A48512" s="649"/>
      <c r="B48512" s="649"/>
      <c r="E48512" s="649"/>
    </row>
    <row r="48513" spans="1:5" ht="16.5">
      <c r="A48513" s="649"/>
      <c r="B48513" s="649"/>
      <c r="E48513" s="649"/>
    </row>
    <row r="48514" spans="1:5" ht="16.5">
      <c r="A48514" s="649"/>
      <c r="B48514" s="649"/>
      <c r="E48514" s="649"/>
    </row>
    <row r="48515" spans="1:5" ht="16.5">
      <c r="A48515" s="649"/>
      <c r="B48515" s="649"/>
      <c r="E48515" s="649"/>
    </row>
    <row r="48516" spans="1:5" ht="16.5">
      <c r="A48516" s="649"/>
      <c r="B48516" s="649"/>
      <c r="E48516" s="649"/>
    </row>
    <row r="48517" spans="1:5" ht="16.5">
      <c r="A48517" s="649"/>
      <c r="B48517" s="649"/>
      <c r="E48517" s="649"/>
    </row>
    <row r="48518" spans="1:5" ht="16.5">
      <c r="A48518" s="649"/>
      <c r="B48518" s="649"/>
      <c r="E48518" s="649"/>
    </row>
    <row r="48519" spans="1:5" ht="16.5">
      <c r="A48519" s="649"/>
      <c r="B48519" s="649"/>
      <c r="E48519" s="649"/>
    </row>
    <row r="48520" spans="1:5" ht="16.5">
      <c r="A48520" s="649"/>
      <c r="B48520" s="649"/>
      <c r="E48520" s="649"/>
    </row>
    <row r="48521" spans="1:5" ht="16.5">
      <c r="A48521" s="649"/>
      <c r="B48521" s="649"/>
      <c r="E48521" s="649"/>
    </row>
    <row r="48522" spans="1:5" ht="16.5">
      <c r="A48522" s="649"/>
      <c r="B48522" s="649"/>
      <c r="E48522" s="649"/>
    </row>
    <row r="48523" spans="1:5" ht="16.5">
      <c r="A48523" s="649"/>
      <c r="B48523" s="649"/>
      <c r="E48523" s="649"/>
    </row>
    <row r="48524" spans="1:5" ht="16.5">
      <c r="A48524" s="649"/>
      <c r="B48524" s="649"/>
      <c r="E48524" s="649"/>
    </row>
    <row r="48525" spans="1:5" ht="16.5">
      <c r="A48525" s="649"/>
      <c r="B48525" s="649"/>
      <c r="E48525" s="649"/>
    </row>
    <row r="48526" spans="1:5" ht="16.5">
      <c r="A48526" s="649"/>
      <c r="B48526" s="649"/>
      <c r="E48526" s="649"/>
    </row>
    <row r="48527" spans="1:5" ht="16.5">
      <c r="A48527" s="649"/>
      <c r="B48527" s="649"/>
      <c r="E48527" s="649"/>
    </row>
    <row r="48528" spans="1:5" ht="16.5">
      <c r="A48528" s="649"/>
      <c r="B48528" s="649"/>
      <c r="E48528" s="649"/>
    </row>
    <row r="48529" spans="1:5" ht="16.5">
      <c r="A48529" s="649"/>
      <c r="B48529" s="649"/>
      <c r="E48529" s="649"/>
    </row>
    <row r="48530" spans="1:5" ht="16.5">
      <c r="A48530" s="649"/>
      <c r="B48530" s="649"/>
      <c r="E48530" s="649"/>
    </row>
    <row r="48531" spans="1:5" ht="16.5">
      <c r="A48531" s="649"/>
      <c r="B48531" s="649"/>
      <c r="E48531" s="649"/>
    </row>
    <row r="48532" spans="1:5" ht="16.5">
      <c r="A48532" s="649"/>
      <c r="B48532" s="649"/>
      <c r="E48532" s="649"/>
    </row>
    <row r="48533" spans="1:5" ht="16.5">
      <c r="A48533" s="649"/>
      <c r="B48533" s="649"/>
      <c r="E48533" s="649"/>
    </row>
    <row r="48534" spans="1:5" ht="16.5">
      <c r="A48534" s="649"/>
      <c r="B48534" s="649"/>
      <c r="E48534" s="649"/>
    </row>
    <row r="48535" spans="1:5" ht="16.5">
      <c r="A48535" s="649"/>
      <c r="B48535" s="649"/>
      <c r="E48535" s="649"/>
    </row>
    <row r="48536" spans="1:5" ht="16.5">
      <c r="A48536" s="649"/>
      <c r="B48536" s="649"/>
      <c r="E48536" s="649"/>
    </row>
    <row r="48537" spans="1:5" ht="16.5">
      <c r="A48537" s="649"/>
      <c r="B48537" s="649"/>
      <c r="E48537" s="649"/>
    </row>
    <row r="48538" spans="1:5" ht="16.5">
      <c r="A48538" s="649"/>
      <c r="B48538" s="649"/>
      <c r="E48538" s="649"/>
    </row>
    <row r="48539" spans="1:5" ht="16.5">
      <c r="A48539" s="649"/>
      <c r="B48539" s="649"/>
      <c r="E48539" s="649"/>
    </row>
    <row r="48540" spans="1:5" ht="16.5">
      <c r="A48540" s="649"/>
      <c r="B48540" s="649"/>
      <c r="E48540" s="649"/>
    </row>
    <row r="48541" spans="1:5" ht="16.5">
      <c r="A48541" s="649"/>
      <c r="B48541" s="649"/>
      <c r="E48541" s="649"/>
    </row>
    <row r="48542" spans="1:5" ht="16.5">
      <c r="A48542" s="649"/>
      <c r="B48542" s="649"/>
      <c r="E48542" s="649"/>
    </row>
    <row r="48543" spans="1:5" ht="16.5">
      <c r="A48543" s="649"/>
      <c r="B48543" s="649"/>
      <c r="E48543" s="649"/>
    </row>
    <row r="48544" spans="1:5" ht="16.5">
      <c r="A48544" s="649"/>
      <c r="B48544" s="649"/>
      <c r="E48544" s="649"/>
    </row>
    <row r="48545" spans="1:5" ht="16.5">
      <c r="A48545" s="649"/>
      <c r="B48545" s="649"/>
      <c r="E48545" s="649"/>
    </row>
    <row r="48546" spans="1:5" ht="16.5">
      <c r="A48546" s="649"/>
      <c r="B48546" s="649"/>
      <c r="E48546" s="649"/>
    </row>
    <row r="48547" spans="1:5" ht="16.5">
      <c r="A48547" s="649"/>
      <c r="B48547" s="649"/>
      <c r="E48547" s="649"/>
    </row>
    <row r="48548" spans="1:5" ht="16.5">
      <c r="A48548" s="649"/>
      <c r="B48548" s="649"/>
      <c r="E48548" s="649"/>
    </row>
    <row r="48549" spans="1:5" ht="16.5">
      <c r="A48549" s="649"/>
      <c r="B48549" s="649"/>
      <c r="E48549" s="649"/>
    </row>
    <row r="48550" spans="1:5" ht="16.5">
      <c r="A48550" s="649"/>
      <c r="B48550" s="649"/>
      <c r="E48550" s="649"/>
    </row>
    <row r="48551" spans="1:5" ht="16.5">
      <c r="A48551" s="649"/>
      <c r="B48551" s="649"/>
      <c r="E48551" s="649"/>
    </row>
    <row r="48552" spans="1:5" ht="16.5">
      <c r="A48552" s="649"/>
      <c r="B48552" s="649"/>
      <c r="E48552" s="649"/>
    </row>
    <row r="48553" spans="1:5" ht="16.5">
      <c r="A48553" s="649"/>
      <c r="B48553" s="649"/>
      <c r="E48553" s="649"/>
    </row>
    <row r="48554" spans="1:5" ht="16.5">
      <c r="A48554" s="649"/>
      <c r="B48554" s="649"/>
      <c r="E48554" s="649"/>
    </row>
    <row r="48555" spans="1:5" ht="16.5">
      <c r="A48555" s="649"/>
      <c r="B48555" s="649"/>
      <c r="E48555" s="649"/>
    </row>
    <row r="48556" spans="1:5" ht="16.5">
      <c r="A48556" s="649"/>
      <c r="B48556" s="649"/>
      <c r="E48556" s="649"/>
    </row>
    <row r="48557" spans="1:5" ht="16.5">
      <c r="A48557" s="649"/>
      <c r="B48557" s="649"/>
      <c r="E48557" s="649"/>
    </row>
    <row r="48558" spans="1:5" ht="16.5">
      <c r="A48558" s="649"/>
      <c r="B48558" s="649"/>
      <c r="E48558" s="649"/>
    </row>
    <row r="48559" spans="1:5" ht="16.5">
      <c r="A48559" s="649"/>
      <c r="B48559" s="649"/>
      <c r="E48559" s="649"/>
    </row>
    <row r="48560" spans="1:5" ht="16.5">
      <c r="A48560" s="649"/>
      <c r="B48560" s="649"/>
      <c r="E48560" s="649"/>
    </row>
    <row r="48561" spans="1:5" ht="16.5">
      <c r="A48561" s="649"/>
      <c r="B48561" s="649"/>
      <c r="E48561" s="649"/>
    </row>
    <row r="48562" spans="1:5" ht="16.5">
      <c r="A48562" s="649"/>
      <c r="B48562" s="649"/>
      <c r="E48562" s="649"/>
    </row>
    <row r="48563" spans="1:5" ht="16.5">
      <c r="A48563" s="649"/>
      <c r="B48563" s="649"/>
      <c r="E48563" s="649"/>
    </row>
    <row r="48564" spans="1:5" ht="16.5">
      <c r="A48564" s="649"/>
      <c r="B48564" s="649"/>
      <c r="E48564" s="649"/>
    </row>
    <row r="48565" spans="1:5" ht="16.5">
      <c r="A48565" s="649"/>
      <c r="B48565" s="649"/>
      <c r="E48565" s="649"/>
    </row>
    <row r="48566" spans="1:5" ht="16.5">
      <c r="A48566" s="649"/>
      <c r="B48566" s="649"/>
      <c r="E48566" s="649"/>
    </row>
    <row r="48567" spans="1:5" ht="16.5">
      <c r="A48567" s="649"/>
      <c r="B48567" s="649"/>
      <c r="E48567" s="649"/>
    </row>
    <row r="48568" spans="1:5" ht="16.5">
      <c r="A48568" s="649"/>
      <c r="B48568" s="649"/>
      <c r="E48568" s="649"/>
    </row>
    <row r="48569" spans="1:5" ht="16.5">
      <c r="A48569" s="649"/>
      <c r="B48569" s="649"/>
      <c r="E48569" s="649"/>
    </row>
    <row r="48570" spans="1:5" ht="16.5">
      <c r="A48570" s="649"/>
      <c r="B48570" s="649"/>
      <c r="E48570" s="649"/>
    </row>
    <row r="48571" spans="1:5" ht="16.5">
      <c r="A48571" s="649"/>
      <c r="B48571" s="649"/>
      <c r="E48571" s="649"/>
    </row>
    <row r="48572" spans="1:5" ht="16.5">
      <c r="A48572" s="649"/>
      <c r="B48572" s="649"/>
      <c r="E48572" s="649"/>
    </row>
    <row r="48573" spans="1:5" ht="16.5">
      <c r="A48573" s="649"/>
      <c r="B48573" s="649"/>
      <c r="E48573" s="649"/>
    </row>
    <row r="48574" spans="1:5" ht="16.5">
      <c r="A48574" s="649"/>
      <c r="B48574" s="649"/>
      <c r="E48574" s="649"/>
    </row>
    <row r="48575" spans="1:5" ht="16.5">
      <c r="A48575" s="649"/>
      <c r="B48575" s="649"/>
      <c r="E48575" s="649"/>
    </row>
    <row r="48576" spans="1:5" ht="16.5">
      <c r="A48576" s="649"/>
      <c r="B48576" s="649"/>
      <c r="E48576" s="649"/>
    </row>
    <row r="48577" spans="1:5" ht="16.5">
      <c r="A48577" s="649"/>
      <c r="B48577" s="649"/>
      <c r="E48577" s="649"/>
    </row>
    <row r="48578" spans="1:5" ht="16.5">
      <c r="A48578" s="649"/>
      <c r="B48578" s="649"/>
      <c r="E48578" s="649"/>
    </row>
    <row r="48579" spans="1:5" ht="16.5">
      <c r="A48579" s="649"/>
      <c r="B48579" s="649"/>
      <c r="E48579" s="649"/>
    </row>
    <row r="48580" spans="1:5" ht="16.5">
      <c r="A48580" s="649"/>
      <c r="B48580" s="649"/>
      <c r="E48580" s="649"/>
    </row>
    <row r="48581" spans="1:5" ht="16.5">
      <c r="A48581" s="649"/>
      <c r="B48581" s="649"/>
      <c r="E48581" s="649"/>
    </row>
    <row r="48582" spans="1:5" ht="16.5">
      <c r="A48582" s="649"/>
      <c r="B48582" s="649"/>
      <c r="E48582" s="649"/>
    </row>
    <row r="48583" spans="1:5" ht="16.5">
      <c r="A48583" s="649"/>
      <c r="B48583" s="649"/>
      <c r="E48583" s="649"/>
    </row>
    <row r="48584" spans="1:5" ht="16.5">
      <c r="A48584" s="649"/>
      <c r="B48584" s="649"/>
      <c r="E48584" s="649"/>
    </row>
    <row r="48585" spans="1:5" ht="16.5">
      <c r="A48585" s="649"/>
      <c r="B48585" s="649"/>
      <c r="E48585" s="649"/>
    </row>
    <row r="48586" spans="1:5" ht="16.5">
      <c r="A48586" s="649"/>
      <c r="B48586" s="649"/>
      <c r="E48586" s="649"/>
    </row>
    <row r="48587" spans="1:5" ht="16.5">
      <c r="A48587" s="649"/>
      <c r="B48587" s="649"/>
      <c r="E48587" s="649"/>
    </row>
    <row r="48588" spans="1:5" ht="16.5">
      <c r="A48588" s="649"/>
      <c r="B48588" s="649"/>
      <c r="E48588" s="649"/>
    </row>
    <row r="48589" spans="1:5" ht="16.5">
      <c r="A48589" s="649"/>
      <c r="B48589" s="649"/>
      <c r="E48589" s="649"/>
    </row>
    <row r="48590" spans="1:5" ht="16.5">
      <c r="A48590" s="649"/>
      <c r="B48590" s="649"/>
      <c r="E48590" s="649"/>
    </row>
    <row r="48591" spans="1:5" ht="16.5">
      <c r="A48591" s="649"/>
      <c r="B48591" s="649"/>
      <c r="E48591" s="649"/>
    </row>
    <row r="48592" spans="1:5" ht="16.5">
      <c r="A48592" s="649"/>
      <c r="B48592" s="649"/>
      <c r="E48592" s="649"/>
    </row>
    <row r="48593" spans="1:5" ht="16.5">
      <c r="A48593" s="649"/>
      <c r="B48593" s="649"/>
      <c r="E48593" s="649"/>
    </row>
    <row r="48594" spans="1:5" ht="16.5">
      <c r="A48594" s="649"/>
      <c r="B48594" s="649"/>
      <c r="E48594" s="649"/>
    </row>
    <row r="48595" spans="1:5" ht="16.5">
      <c r="A48595" s="649"/>
      <c r="B48595" s="649"/>
      <c r="E48595" s="649"/>
    </row>
    <row r="48596" spans="1:5" ht="16.5">
      <c r="A48596" s="649"/>
      <c r="B48596" s="649"/>
      <c r="E48596" s="649"/>
    </row>
    <row r="48597" spans="1:5" ht="16.5">
      <c r="A48597" s="649"/>
      <c r="B48597" s="649"/>
      <c r="E48597" s="649"/>
    </row>
    <row r="48598" spans="1:5" ht="16.5">
      <c r="A48598" s="649"/>
      <c r="B48598" s="649"/>
      <c r="E48598" s="649"/>
    </row>
    <row r="48599" spans="1:5" ht="16.5">
      <c r="A48599" s="649"/>
      <c r="B48599" s="649"/>
      <c r="E48599" s="649"/>
    </row>
    <row r="48600" spans="1:5" ht="16.5">
      <c r="A48600" s="649"/>
      <c r="B48600" s="649"/>
      <c r="E48600" s="649"/>
    </row>
    <row r="48601" spans="1:5" ht="16.5">
      <c r="A48601" s="649"/>
      <c r="B48601" s="649"/>
      <c r="E48601" s="649"/>
    </row>
    <row r="48602" spans="1:5" ht="16.5">
      <c r="A48602" s="649"/>
      <c r="B48602" s="649"/>
      <c r="E48602" s="649"/>
    </row>
    <row r="48603" spans="1:5" ht="16.5">
      <c r="A48603" s="649"/>
      <c r="B48603" s="649"/>
      <c r="E48603" s="649"/>
    </row>
    <row r="48604" spans="1:5" ht="16.5">
      <c r="A48604" s="649"/>
      <c r="B48604" s="649"/>
      <c r="E48604" s="649"/>
    </row>
    <row r="48605" spans="1:5" ht="16.5">
      <c r="A48605" s="649"/>
      <c r="B48605" s="649"/>
      <c r="E48605" s="649"/>
    </row>
    <row r="48606" spans="1:5" ht="16.5">
      <c r="A48606" s="649"/>
      <c r="B48606" s="649"/>
      <c r="E48606" s="649"/>
    </row>
    <row r="48607" spans="1:5" ht="16.5">
      <c r="A48607" s="649"/>
      <c r="B48607" s="649"/>
      <c r="E48607" s="649"/>
    </row>
    <row r="48608" spans="1:5" ht="16.5">
      <c r="A48608" s="649"/>
      <c r="B48608" s="649"/>
      <c r="E48608" s="649"/>
    </row>
    <row r="48609" spans="1:5" ht="16.5">
      <c r="A48609" s="649"/>
      <c r="B48609" s="649"/>
      <c r="E48609" s="649"/>
    </row>
    <row r="48610" spans="1:5" ht="16.5">
      <c r="A48610" s="649"/>
      <c r="B48610" s="649"/>
      <c r="E48610" s="649"/>
    </row>
    <row r="48611" spans="1:5" ht="16.5">
      <c r="A48611" s="649"/>
      <c r="B48611" s="649"/>
      <c r="E48611" s="649"/>
    </row>
    <row r="48612" spans="1:5" ht="16.5">
      <c r="A48612" s="649"/>
      <c r="B48612" s="649"/>
      <c r="E48612" s="649"/>
    </row>
    <row r="48613" spans="1:5" ht="16.5">
      <c r="A48613" s="649"/>
      <c r="B48613" s="649"/>
      <c r="E48613" s="649"/>
    </row>
    <row r="48614" spans="1:5" ht="16.5">
      <c r="A48614" s="649"/>
      <c r="B48614" s="649"/>
      <c r="E48614" s="649"/>
    </row>
    <row r="48615" spans="1:5" ht="16.5">
      <c r="A48615" s="649"/>
      <c r="B48615" s="649"/>
      <c r="E48615" s="649"/>
    </row>
    <row r="48616" spans="1:5" ht="16.5">
      <c r="A48616" s="649"/>
      <c r="B48616" s="649"/>
      <c r="E48616" s="649"/>
    </row>
    <row r="48617" spans="1:5" ht="16.5">
      <c r="A48617" s="649"/>
      <c r="B48617" s="649"/>
      <c r="E48617" s="649"/>
    </row>
    <row r="48618" spans="1:5" ht="16.5">
      <c r="A48618" s="649"/>
      <c r="B48618" s="649"/>
      <c r="E48618" s="649"/>
    </row>
    <row r="48619" spans="1:5" ht="16.5">
      <c r="A48619" s="649"/>
      <c r="B48619" s="649"/>
      <c r="E48619" s="649"/>
    </row>
    <row r="48620" spans="1:5" ht="16.5">
      <c r="A48620" s="649"/>
      <c r="B48620" s="649"/>
      <c r="E48620" s="649"/>
    </row>
    <row r="48621" spans="1:5" ht="16.5">
      <c r="A48621" s="649"/>
      <c r="B48621" s="649"/>
      <c r="E48621" s="649"/>
    </row>
    <row r="48622" spans="1:5" ht="16.5">
      <c r="A48622" s="649"/>
      <c r="B48622" s="649"/>
      <c r="E48622" s="649"/>
    </row>
    <row r="48623" spans="1:5" ht="16.5">
      <c r="A48623" s="649"/>
      <c r="B48623" s="649"/>
      <c r="E48623" s="649"/>
    </row>
    <row r="48624" spans="1:5" ht="16.5">
      <c r="A48624" s="649"/>
      <c r="B48624" s="649"/>
      <c r="E48624" s="649"/>
    </row>
    <row r="48625" spans="1:5" ht="16.5">
      <c r="A48625" s="649"/>
      <c r="B48625" s="649"/>
      <c r="E48625" s="649"/>
    </row>
    <row r="48626" spans="1:5" ht="16.5">
      <c r="A48626" s="649"/>
      <c r="B48626" s="649"/>
      <c r="E48626" s="649"/>
    </row>
    <row r="48627" spans="1:5" ht="16.5">
      <c r="A48627" s="649"/>
      <c r="B48627" s="649"/>
      <c r="E48627" s="649"/>
    </row>
    <row r="48628" spans="1:5" ht="16.5">
      <c r="A48628" s="649"/>
      <c r="B48628" s="649"/>
      <c r="E48628" s="649"/>
    </row>
    <row r="48629" spans="1:5" ht="16.5">
      <c r="A48629" s="649"/>
      <c r="B48629" s="649"/>
      <c r="E48629" s="649"/>
    </row>
    <row r="48630" spans="1:5" ht="16.5">
      <c r="A48630" s="649"/>
      <c r="B48630" s="649"/>
      <c r="E48630" s="649"/>
    </row>
    <row r="48631" spans="1:5" ht="16.5">
      <c r="A48631" s="649"/>
      <c r="B48631" s="649"/>
      <c r="E48631" s="649"/>
    </row>
    <row r="48632" spans="1:5" ht="16.5">
      <c r="A48632" s="649"/>
      <c r="B48632" s="649"/>
      <c r="E48632" s="649"/>
    </row>
    <row r="48633" spans="1:5" ht="16.5">
      <c r="A48633" s="649"/>
      <c r="B48633" s="649"/>
      <c r="E48633" s="649"/>
    </row>
    <row r="48634" spans="1:5" ht="16.5">
      <c r="A48634" s="649"/>
      <c r="B48634" s="649"/>
      <c r="E48634" s="649"/>
    </row>
    <row r="48635" spans="1:5" ht="16.5">
      <c r="A48635" s="649"/>
      <c r="B48635" s="649"/>
      <c r="E48635" s="649"/>
    </row>
    <row r="48636" spans="1:5" ht="16.5">
      <c r="A48636" s="649"/>
      <c r="B48636" s="649"/>
      <c r="E48636" s="649"/>
    </row>
    <row r="48637" spans="1:5" ht="16.5">
      <c r="A48637" s="649"/>
      <c r="B48637" s="649"/>
      <c r="E48637" s="649"/>
    </row>
    <row r="48638" spans="1:5" ht="16.5">
      <c r="A48638" s="649"/>
      <c r="B48638" s="649"/>
      <c r="E48638" s="649"/>
    </row>
    <row r="48639" spans="1:5" ht="16.5">
      <c r="A48639" s="649"/>
      <c r="B48639" s="649"/>
      <c r="E48639" s="649"/>
    </row>
    <row r="48640" spans="1:5" ht="16.5">
      <c r="A48640" s="649"/>
      <c r="B48640" s="649"/>
      <c r="E48640" s="649"/>
    </row>
    <row r="48641" spans="1:5" ht="16.5">
      <c r="A48641" s="649"/>
      <c r="B48641" s="649"/>
      <c r="E48641" s="649"/>
    </row>
    <row r="48642" spans="1:5" ht="16.5">
      <c r="A48642" s="649"/>
      <c r="B48642" s="649"/>
      <c r="E48642" s="649"/>
    </row>
    <row r="48643" spans="1:5" ht="16.5">
      <c r="A48643" s="649"/>
      <c r="B48643" s="649"/>
      <c r="E48643" s="649"/>
    </row>
    <row r="48644" spans="1:5" ht="16.5">
      <c r="A48644" s="649"/>
      <c r="B48644" s="649"/>
      <c r="E48644" s="649"/>
    </row>
    <row r="48645" spans="1:5" ht="16.5">
      <c r="A48645" s="649"/>
      <c r="B48645" s="649"/>
      <c r="E48645" s="649"/>
    </row>
    <row r="48646" spans="1:5" ht="16.5">
      <c r="A48646" s="649"/>
      <c r="B48646" s="649"/>
      <c r="E48646" s="649"/>
    </row>
    <row r="48647" spans="1:5" ht="16.5">
      <c r="A48647" s="649"/>
      <c r="B48647" s="649"/>
      <c r="E48647" s="649"/>
    </row>
    <row r="48648" spans="1:5" ht="16.5">
      <c r="A48648" s="649"/>
      <c r="B48648" s="649"/>
      <c r="E48648" s="649"/>
    </row>
    <row r="48649" spans="1:5" ht="16.5">
      <c r="A48649" s="649"/>
      <c r="B48649" s="649"/>
      <c r="E48649" s="649"/>
    </row>
    <row r="48650" spans="1:5" ht="16.5">
      <c r="A48650" s="649"/>
      <c r="B48650" s="649"/>
      <c r="E48650" s="649"/>
    </row>
    <row r="48651" spans="1:5" ht="16.5">
      <c r="A48651" s="649"/>
      <c r="B48651" s="649"/>
      <c r="E48651" s="649"/>
    </row>
    <row r="48652" spans="1:5" ht="16.5">
      <c r="A48652" s="649"/>
      <c r="B48652" s="649"/>
      <c r="E48652" s="649"/>
    </row>
    <row r="48653" spans="1:5" ht="16.5">
      <c r="A48653" s="649"/>
      <c r="B48653" s="649"/>
      <c r="E48653" s="649"/>
    </row>
    <row r="48654" spans="1:5" ht="16.5">
      <c r="A48654" s="649"/>
      <c r="B48654" s="649"/>
      <c r="E48654" s="649"/>
    </row>
    <row r="48655" spans="1:5" ht="16.5">
      <c r="A48655" s="649"/>
      <c r="B48655" s="649"/>
      <c r="E48655" s="649"/>
    </row>
    <row r="48656" spans="1:5" ht="16.5">
      <c r="A48656" s="649"/>
      <c r="B48656" s="649"/>
      <c r="E48656" s="649"/>
    </row>
    <row r="48657" spans="1:5" ht="16.5">
      <c r="A48657" s="649"/>
      <c r="B48657" s="649"/>
      <c r="E48657" s="649"/>
    </row>
    <row r="48658" spans="1:5" ht="16.5">
      <c r="A48658" s="649"/>
      <c r="B48658" s="649"/>
      <c r="E48658" s="649"/>
    </row>
    <row r="48659" spans="1:5" ht="16.5">
      <c r="A48659" s="649"/>
      <c r="B48659" s="649"/>
      <c r="E48659" s="649"/>
    </row>
    <row r="48660" spans="1:5" ht="16.5">
      <c r="A48660" s="649"/>
      <c r="B48660" s="649"/>
      <c r="E48660" s="649"/>
    </row>
    <row r="48661" spans="1:5" ht="16.5">
      <c r="A48661" s="649"/>
      <c r="B48661" s="649"/>
      <c r="E48661" s="649"/>
    </row>
    <row r="48662" spans="1:5" ht="16.5">
      <c r="A48662" s="649"/>
      <c r="B48662" s="649"/>
      <c r="E48662" s="649"/>
    </row>
    <row r="48663" spans="1:5" ht="16.5">
      <c r="A48663" s="649"/>
      <c r="B48663" s="649"/>
      <c r="E48663" s="649"/>
    </row>
    <row r="48664" spans="1:5" ht="16.5">
      <c r="A48664" s="649"/>
      <c r="B48664" s="649"/>
      <c r="E48664" s="649"/>
    </row>
    <row r="48665" spans="1:5" ht="16.5">
      <c r="A48665" s="649"/>
      <c r="B48665" s="649"/>
      <c r="E48665" s="649"/>
    </row>
    <row r="48666" spans="1:5" ht="16.5">
      <c r="A48666" s="649"/>
      <c r="B48666" s="649"/>
      <c r="E48666" s="649"/>
    </row>
    <row r="48667" spans="1:5" ht="16.5">
      <c r="A48667" s="649"/>
      <c r="B48667" s="649"/>
      <c r="E48667" s="649"/>
    </row>
    <row r="48668" spans="1:5" ht="16.5">
      <c r="A48668" s="649"/>
      <c r="B48668" s="649"/>
      <c r="E48668" s="649"/>
    </row>
    <row r="48669" spans="1:5" ht="16.5">
      <c r="A48669" s="649"/>
      <c r="B48669" s="649"/>
      <c r="E48669" s="649"/>
    </row>
    <row r="48670" spans="1:5" ht="16.5">
      <c r="A48670" s="649"/>
      <c r="B48670" s="649"/>
      <c r="E48670" s="649"/>
    </row>
    <row r="48671" spans="1:5" ht="16.5">
      <c r="A48671" s="649"/>
      <c r="B48671" s="649"/>
      <c r="E48671" s="649"/>
    </row>
    <row r="48672" spans="1:5" ht="16.5">
      <c r="A48672" s="649"/>
      <c r="B48672" s="649"/>
      <c r="E48672" s="649"/>
    </row>
    <row r="48673" spans="1:5" ht="16.5">
      <c r="A48673" s="649"/>
      <c r="B48673" s="649"/>
      <c r="E48673" s="649"/>
    </row>
    <row r="48674" spans="1:5" ht="16.5">
      <c r="A48674" s="649"/>
      <c r="B48674" s="649"/>
      <c r="E48674" s="649"/>
    </row>
    <row r="48675" spans="1:5" ht="16.5">
      <c r="A48675" s="649"/>
      <c r="B48675" s="649"/>
      <c r="E48675" s="649"/>
    </row>
    <row r="48676" spans="1:5" ht="16.5">
      <c r="A48676" s="649"/>
      <c r="B48676" s="649"/>
      <c r="E48676" s="649"/>
    </row>
    <row r="48677" spans="1:5" ht="16.5">
      <c r="A48677" s="649"/>
      <c r="B48677" s="649"/>
      <c r="E48677" s="649"/>
    </row>
    <row r="48678" spans="1:5" ht="16.5">
      <c r="A48678" s="649"/>
      <c r="B48678" s="649"/>
      <c r="E48678" s="649"/>
    </row>
    <row r="48679" spans="1:5" ht="16.5">
      <c r="A48679" s="649"/>
      <c r="B48679" s="649"/>
      <c r="E48679" s="649"/>
    </row>
    <row r="48680" spans="1:5" ht="16.5">
      <c r="A48680" s="649"/>
      <c r="B48680" s="649"/>
      <c r="E48680" s="649"/>
    </row>
    <row r="48681" spans="1:5" ht="16.5">
      <c r="A48681" s="649"/>
      <c r="B48681" s="649"/>
      <c r="E48681" s="649"/>
    </row>
    <row r="48682" spans="1:5" ht="16.5">
      <c r="A48682" s="649"/>
      <c r="B48682" s="649"/>
      <c r="E48682" s="649"/>
    </row>
    <row r="48683" spans="1:5" ht="16.5">
      <c r="A48683" s="649"/>
      <c r="B48683" s="649"/>
      <c r="E48683" s="649"/>
    </row>
    <row r="48684" spans="1:5" ht="16.5">
      <c r="A48684" s="649"/>
      <c r="B48684" s="649"/>
      <c r="E48684" s="649"/>
    </row>
    <row r="48685" spans="1:5" ht="16.5">
      <c r="A48685" s="649"/>
      <c r="B48685" s="649"/>
      <c r="E48685" s="649"/>
    </row>
    <row r="48686" spans="1:5" ht="16.5">
      <c r="A48686" s="649"/>
      <c r="B48686" s="649"/>
      <c r="E48686" s="649"/>
    </row>
    <row r="48687" spans="1:5" ht="16.5">
      <c r="A48687" s="649"/>
      <c r="B48687" s="649"/>
      <c r="E48687" s="649"/>
    </row>
    <row r="48688" spans="1:5" ht="16.5">
      <c r="A48688" s="649"/>
      <c r="B48688" s="649"/>
      <c r="E48688" s="649"/>
    </row>
    <row r="48689" spans="1:5" ht="16.5">
      <c r="A48689" s="649"/>
      <c r="B48689" s="649"/>
      <c r="E48689" s="649"/>
    </row>
    <row r="48690" spans="1:5" ht="16.5">
      <c r="A48690" s="649"/>
      <c r="B48690" s="649"/>
      <c r="E48690" s="649"/>
    </row>
    <row r="48691" spans="1:5" ht="16.5">
      <c r="A48691" s="649"/>
      <c r="B48691" s="649"/>
      <c r="E48691" s="649"/>
    </row>
    <row r="48692" spans="1:5" ht="16.5">
      <c r="A48692" s="649"/>
      <c r="B48692" s="649"/>
      <c r="E48692" s="649"/>
    </row>
    <row r="48693" spans="1:5" ht="16.5">
      <c r="A48693" s="649"/>
      <c r="B48693" s="649"/>
      <c r="E48693" s="649"/>
    </row>
    <row r="48694" spans="1:5" ht="16.5">
      <c r="A48694" s="649"/>
      <c r="B48694" s="649"/>
      <c r="E48694" s="649"/>
    </row>
    <row r="48695" spans="1:5" ht="16.5">
      <c r="A48695" s="649"/>
      <c r="B48695" s="649"/>
      <c r="E48695" s="649"/>
    </row>
    <row r="48696" spans="1:5" ht="16.5">
      <c r="A48696" s="649"/>
      <c r="B48696" s="649"/>
      <c r="E48696" s="649"/>
    </row>
    <row r="48697" spans="1:5" ht="16.5">
      <c r="A48697" s="649"/>
      <c r="B48697" s="649"/>
      <c r="E48697" s="649"/>
    </row>
    <row r="48698" spans="1:5" ht="16.5">
      <c r="A48698" s="649"/>
      <c r="B48698" s="649"/>
      <c r="E48698" s="649"/>
    </row>
    <row r="48699" spans="1:5" ht="16.5">
      <c r="A48699" s="649"/>
      <c r="B48699" s="649"/>
      <c r="E48699" s="649"/>
    </row>
    <row r="48700" spans="1:5" ht="16.5">
      <c r="A48700" s="649"/>
      <c r="B48700" s="649"/>
      <c r="E48700" s="649"/>
    </row>
    <row r="48701" spans="1:5" ht="16.5">
      <c r="A48701" s="649"/>
      <c r="B48701" s="649"/>
      <c r="E48701" s="649"/>
    </row>
    <row r="48702" spans="1:5" ht="16.5">
      <c r="A48702" s="649"/>
      <c r="B48702" s="649"/>
      <c r="E48702" s="649"/>
    </row>
    <row r="48703" spans="1:5" ht="16.5">
      <c r="A48703" s="649"/>
      <c r="B48703" s="649"/>
      <c r="E48703" s="649"/>
    </row>
    <row r="48704" spans="1:5" ht="16.5">
      <c r="A48704" s="649"/>
      <c r="B48704" s="649"/>
      <c r="E48704" s="649"/>
    </row>
    <row r="48705" spans="1:5" ht="16.5">
      <c r="A48705" s="649"/>
      <c r="B48705" s="649"/>
      <c r="E48705" s="649"/>
    </row>
    <row r="48706" spans="1:5" ht="16.5">
      <c r="A48706" s="649"/>
      <c r="B48706" s="649"/>
      <c r="E48706" s="649"/>
    </row>
    <row r="48707" spans="1:5" ht="16.5">
      <c r="A48707" s="649"/>
      <c r="B48707" s="649"/>
      <c r="E48707" s="649"/>
    </row>
    <row r="48708" spans="1:5" ht="16.5">
      <c r="A48708" s="649"/>
      <c r="B48708" s="649"/>
      <c r="E48708" s="649"/>
    </row>
    <row r="48709" spans="1:5" ht="16.5">
      <c r="A48709" s="649"/>
      <c r="B48709" s="649"/>
      <c r="E48709" s="649"/>
    </row>
    <row r="48710" spans="1:5" ht="16.5">
      <c r="A48710" s="649"/>
      <c r="B48710" s="649"/>
      <c r="E48710" s="649"/>
    </row>
    <row r="48711" spans="1:5" ht="16.5">
      <c r="A48711" s="649"/>
      <c r="B48711" s="649"/>
      <c r="E48711" s="649"/>
    </row>
    <row r="48712" spans="1:5" ht="16.5">
      <c r="A48712" s="649"/>
      <c r="B48712" s="649"/>
      <c r="E48712" s="649"/>
    </row>
    <row r="48713" spans="1:5" ht="16.5">
      <c r="A48713" s="649"/>
      <c r="B48713" s="649"/>
      <c r="E48713" s="649"/>
    </row>
    <row r="48714" spans="1:5" ht="16.5">
      <c r="A48714" s="649"/>
      <c r="B48714" s="649"/>
      <c r="E48714" s="649"/>
    </row>
    <row r="48715" spans="1:5" ht="16.5">
      <c r="A48715" s="649"/>
      <c r="B48715" s="649"/>
      <c r="E48715" s="649"/>
    </row>
    <row r="48716" spans="1:5" ht="16.5">
      <c r="A48716" s="649"/>
      <c r="B48716" s="649"/>
      <c r="E48716" s="649"/>
    </row>
    <row r="48717" spans="1:5" ht="16.5">
      <c r="A48717" s="649"/>
      <c r="B48717" s="649"/>
      <c r="E48717" s="649"/>
    </row>
    <row r="48718" spans="1:5" ht="16.5">
      <c r="A48718" s="649"/>
      <c r="B48718" s="649"/>
      <c r="E48718" s="649"/>
    </row>
    <row r="48719" spans="1:5" ht="16.5">
      <c r="A48719" s="649"/>
      <c r="B48719" s="649"/>
      <c r="E48719" s="649"/>
    </row>
    <row r="48720" spans="1:5" ht="16.5">
      <c r="A48720" s="649"/>
      <c r="B48720" s="649"/>
      <c r="E48720" s="649"/>
    </row>
    <row r="48721" spans="1:5" ht="16.5">
      <c r="A48721" s="649"/>
      <c r="B48721" s="649"/>
      <c r="E48721" s="649"/>
    </row>
    <row r="48722" spans="1:5" ht="16.5">
      <c r="A48722" s="649"/>
      <c r="B48722" s="649"/>
      <c r="E48722" s="649"/>
    </row>
    <row r="48723" spans="1:5" ht="16.5">
      <c r="A48723" s="649"/>
      <c r="B48723" s="649"/>
      <c r="E48723" s="649"/>
    </row>
    <row r="48724" spans="1:5" ht="16.5">
      <c r="A48724" s="649"/>
      <c r="B48724" s="649"/>
      <c r="E48724" s="649"/>
    </row>
    <row r="48725" spans="1:5" ht="16.5">
      <c r="A48725" s="649"/>
      <c r="B48725" s="649"/>
      <c r="E48725" s="649"/>
    </row>
    <row r="48726" spans="1:5" ht="16.5">
      <c r="A48726" s="649"/>
      <c r="B48726" s="649"/>
      <c r="E48726" s="649"/>
    </row>
    <row r="48727" spans="1:5" ht="16.5">
      <c r="A48727" s="649"/>
      <c r="B48727" s="649"/>
      <c r="E48727" s="649"/>
    </row>
    <row r="48728" spans="1:5" ht="16.5">
      <c r="A48728" s="649"/>
      <c r="B48728" s="649"/>
      <c r="E48728" s="649"/>
    </row>
    <row r="48729" spans="1:5" ht="16.5">
      <c r="A48729" s="649"/>
      <c r="B48729" s="649"/>
      <c r="E48729" s="649"/>
    </row>
    <row r="48730" spans="1:5" ht="16.5">
      <c r="A48730" s="649"/>
      <c r="B48730" s="649"/>
      <c r="E48730" s="649"/>
    </row>
    <row r="48731" spans="1:5" ht="16.5">
      <c r="A48731" s="649"/>
      <c r="B48731" s="649"/>
      <c r="E48731" s="649"/>
    </row>
    <row r="48732" spans="1:5" ht="16.5">
      <c r="A48732" s="649"/>
      <c r="B48732" s="649"/>
      <c r="E48732" s="649"/>
    </row>
    <row r="48733" spans="1:5" ht="16.5">
      <c r="A48733" s="649"/>
      <c r="B48733" s="649"/>
      <c r="E48733" s="649"/>
    </row>
    <row r="48734" spans="1:5" ht="16.5">
      <c r="A48734" s="649"/>
      <c r="B48734" s="649"/>
      <c r="E48734" s="649"/>
    </row>
    <row r="48735" spans="1:5" ht="16.5">
      <c r="A48735" s="649"/>
      <c r="B48735" s="649"/>
      <c r="E48735" s="649"/>
    </row>
    <row r="48736" spans="1:5" ht="16.5">
      <c r="A48736" s="649"/>
      <c r="B48736" s="649"/>
      <c r="E48736" s="649"/>
    </row>
    <row r="48737" spans="1:5" ht="16.5">
      <c r="A48737" s="649"/>
      <c r="B48737" s="649"/>
      <c r="E48737" s="649"/>
    </row>
    <row r="48738" spans="1:5" ht="16.5">
      <c r="A48738" s="649"/>
      <c r="B48738" s="649"/>
      <c r="E48738" s="649"/>
    </row>
    <row r="48739" spans="1:5" ht="16.5">
      <c r="A48739" s="649"/>
      <c r="B48739" s="649"/>
      <c r="E48739" s="649"/>
    </row>
    <row r="48740" spans="1:5" ht="16.5">
      <c r="A48740" s="649"/>
      <c r="B48740" s="649"/>
      <c r="E48740" s="649"/>
    </row>
    <row r="48741" spans="1:5" ht="16.5">
      <c r="A48741" s="649"/>
      <c r="B48741" s="649"/>
      <c r="E48741" s="649"/>
    </row>
    <row r="48742" spans="1:5" ht="16.5">
      <c r="A48742" s="649"/>
      <c r="B48742" s="649"/>
      <c r="E48742" s="649"/>
    </row>
    <row r="48743" spans="1:5" ht="16.5">
      <c r="A48743" s="649"/>
      <c r="B48743" s="649"/>
      <c r="E48743" s="649"/>
    </row>
    <row r="48744" spans="1:5" ht="16.5">
      <c r="A48744" s="649"/>
      <c r="B48744" s="649"/>
      <c r="E48744" s="649"/>
    </row>
    <row r="48745" spans="1:5" ht="16.5">
      <c r="A48745" s="649"/>
      <c r="B48745" s="649"/>
      <c r="E48745" s="649"/>
    </row>
    <row r="48746" spans="1:5" ht="16.5">
      <c r="A48746" s="649"/>
      <c r="B48746" s="649"/>
      <c r="E48746" s="649"/>
    </row>
    <row r="48747" spans="1:5" ht="16.5">
      <c r="A48747" s="649"/>
      <c r="B48747" s="649"/>
      <c r="E48747" s="649"/>
    </row>
    <row r="48748" spans="1:5" ht="16.5">
      <c r="A48748" s="649"/>
      <c r="B48748" s="649"/>
      <c r="E48748" s="649"/>
    </row>
    <row r="48749" spans="1:5" ht="16.5">
      <c r="A48749" s="649"/>
      <c r="B48749" s="649"/>
      <c r="E48749" s="649"/>
    </row>
    <row r="48750" spans="1:5" ht="16.5">
      <c r="A48750" s="649"/>
      <c r="B48750" s="649"/>
      <c r="E48750" s="649"/>
    </row>
    <row r="48751" spans="1:5" ht="16.5">
      <c r="A48751" s="649"/>
      <c r="B48751" s="649"/>
      <c r="E48751" s="649"/>
    </row>
    <row r="48752" spans="1:5" ht="16.5">
      <c r="A48752" s="649"/>
      <c r="B48752" s="649"/>
      <c r="E48752" s="649"/>
    </row>
    <row r="48753" spans="1:5" ht="16.5">
      <c r="A48753" s="649"/>
      <c r="B48753" s="649"/>
      <c r="E48753" s="649"/>
    </row>
    <row r="48754" spans="1:5" ht="16.5">
      <c r="A48754" s="649"/>
      <c r="B48754" s="649"/>
      <c r="E48754" s="649"/>
    </row>
    <row r="48755" spans="1:5" ht="16.5">
      <c r="A48755" s="649"/>
      <c r="B48755" s="649"/>
      <c r="E48755" s="649"/>
    </row>
    <row r="48756" spans="1:5" ht="16.5">
      <c r="A48756" s="649"/>
      <c r="B48756" s="649"/>
      <c r="E48756" s="649"/>
    </row>
    <row r="48757" spans="1:5" ht="16.5">
      <c r="A48757" s="649"/>
      <c r="B48757" s="649"/>
      <c r="E48757" s="649"/>
    </row>
    <row r="48758" spans="1:5" ht="16.5">
      <c r="A48758" s="649"/>
      <c r="B48758" s="649"/>
      <c r="E48758" s="649"/>
    </row>
    <row r="48759" spans="1:5" ht="16.5">
      <c r="A48759" s="649"/>
      <c r="B48759" s="649"/>
      <c r="E48759" s="649"/>
    </row>
    <row r="48760" spans="1:5" ht="16.5">
      <c r="A48760" s="649"/>
      <c r="B48760" s="649"/>
      <c r="E48760" s="649"/>
    </row>
    <row r="48761" spans="1:5" ht="16.5">
      <c r="A48761" s="649"/>
      <c r="B48761" s="649"/>
      <c r="E48761" s="649"/>
    </row>
    <row r="48762" spans="1:5" ht="16.5">
      <c r="A48762" s="649"/>
      <c r="B48762" s="649"/>
      <c r="E48762" s="649"/>
    </row>
    <row r="48763" spans="1:5" ht="16.5">
      <c r="A48763" s="649"/>
      <c r="B48763" s="649"/>
      <c r="E48763" s="649"/>
    </row>
    <row r="48764" spans="1:5" ht="16.5">
      <c r="A48764" s="649"/>
      <c r="B48764" s="649"/>
      <c r="E48764" s="649"/>
    </row>
    <row r="48765" spans="1:5" ht="16.5">
      <c r="A48765" s="649"/>
      <c r="B48765" s="649"/>
      <c r="E48765" s="649"/>
    </row>
    <row r="48766" spans="1:5" ht="16.5">
      <c r="A48766" s="649"/>
      <c r="B48766" s="649"/>
      <c r="E48766" s="649"/>
    </row>
    <row r="48767" spans="1:5" ht="16.5">
      <c r="A48767" s="649"/>
      <c r="B48767" s="649"/>
      <c r="E48767" s="649"/>
    </row>
    <row r="48768" spans="1:5" ht="16.5">
      <c r="A48768" s="649"/>
      <c r="B48768" s="649"/>
      <c r="E48768" s="649"/>
    </row>
    <row r="48769" spans="1:5" ht="16.5">
      <c r="A48769" s="649"/>
      <c r="B48769" s="649"/>
      <c r="E48769" s="649"/>
    </row>
    <row r="48770" spans="1:5" ht="16.5">
      <c r="A48770" s="649"/>
      <c r="B48770" s="649"/>
      <c r="E48770" s="649"/>
    </row>
    <row r="48771" spans="1:5" ht="16.5">
      <c r="A48771" s="649"/>
      <c r="B48771" s="649"/>
      <c r="E48771" s="649"/>
    </row>
    <row r="48772" spans="1:5" ht="16.5">
      <c r="A48772" s="649"/>
      <c r="B48772" s="649"/>
      <c r="E48772" s="649"/>
    </row>
    <row r="48773" spans="1:5" ht="16.5">
      <c r="A48773" s="649"/>
      <c r="B48773" s="649"/>
      <c r="E48773" s="649"/>
    </row>
    <row r="48774" spans="1:5" ht="16.5">
      <c r="A48774" s="649"/>
      <c r="B48774" s="649"/>
      <c r="E48774" s="649"/>
    </row>
    <row r="48775" spans="1:5" ht="16.5">
      <c r="A48775" s="649"/>
      <c r="B48775" s="649"/>
      <c r="E48775" s="649"/>
    </row>
    <row r="48776" spans="1:5" ht="16.5">
      <c r="A48776" s="649"/>
      <c r="B48776" s="649"/>
      <c r="E48776" s="649"/>
    </row>
    <row r="48777" spans="1:5" ht="16.5">
      <c r="A48777" s="649"/>
      <c r="B48777" s="649"/>
      <c r="E48777" s="649"/>
    </row>
    <row r="48778" spans="1:5" ht="16.5">
      <c r="A48778" s="649"/>
      <c r="B48778" s="649"/>
      <c r="E48778" s="649"/>
    </row>
    <row r="48779" spans="1:5" ht="16.5">
      <c r="A48779" s="649"/>
      <c r="B48779" s="649"/>
      <c r="E48779" s="649"/>
    </row>
    <row r="48780" spans="1:5" ht="16.5">
      <c r="A48780" s="649"/>
      <c r="B48780" s="649"/>
      <c r="E48780" s="649"/>
    </row>
    <row r="48781" spans="1:5" ht="16.5">
      <c r="A48781" s="649"/>
      <c r="B48781" s="649"/>
      <c r="E48781" s="649"/>
    </row>
    <row r="48782" spans="1:5" ht="16.5">
      <c r="A48782" s="649"/>
      <c r="B48782" s="649"/>
      <c r="E48782" s="649"/>
    </row>
    <row r="48783" spans="1:5" ht="16.5">
      <c r="A48783" s="649"/>
      <c r="B48783" s="649"/>
      <c r="E48783" s="649"/>
    </row>
    <row r="48784" spans="1:5" ht="16.5">
      <c r="A48784" s="649"/>
      <c r="B48784" s="649"/>
      <c r="E48784" s="649"/>
    </row>
    <row r="48785" spans="1:5" ht="16.5">
      <c r="A48785" s="649"/>
      <c r="B48785" s="649"/>
      <c r="E48785" s="649"/>
    </row>
    <row r="48786" spans="1:5" ht="16.5">
      <c r="A48786" s="649"/>
      <c r="B48786" s="649"/>
      <c r="E48786" s="649"/>
    </row>
    <row r="48787" spans="1:5" ht="16.5">
      <c r="A48787" s="649"/>
      <c r="B48787" s="649"/>
      <c r="E48787" s="649"/>
    </row>
    <row r="48788" spans="1:5" ht="16.5">
      <c r="A48788" s="649"/>
      <c r="B48788" s="649"/>
      <c r="E48788" s="649"/>
    </row>
    <row r="48789" spans="1:5" ht="16.5">
      <c r="A48789" s="649"/>
      <c r="B48789" s="649"/>
      <c r="E48789" s="649"/>
    </row>
    <row r="48790" spans="1:5" ht="16.5">
      <c r="A48790" s="649"/>
      <c r="B48790" s="649"/>
      <c r="E48790" s="649"/>
    </row>
    <row r="48791" spans="1:5" ht="16.5">
      <c r="A48791" s="649"/>
      <c r="B48791" s="649"/>
      <c r="E48791" s="649"/>
    </row>
    <row r="48792" spans="1:5" ht="16.5">
      <c r="A48792" s="649"/>
      <c r="B48792" s="649"/>
      <c r="E48792" s="649"/>
    </row>
    <row r="48793" spans="1:5" ht="16.5">
      <c r="A48793" s="649"/>
      <c r="B48793" s="649"/>
      <c r="E48793" s="649"/>
    </row>
    <row r="48794" spans="1:5" ht="16.5">
      <c r="A48794" s="649"/>
      <c r="B48794" s="649"/>
      <c r="E48794" s="649"/>
    </row>
    <row r="48795" spans="1:5" ht="16.5">
      <c r="A48795" s="649"/>
      <c r="B48795" s="649"/>
      <c r="E48795" s="649"/>
    </row>
    <row r="48796" spans="1:5" ht="16.5">
      <c r="A48796" s="649"/>
      <c r="B48796" s="649"/>
      <c r="E48796" s="649"/>
    </row>
    <row r="48797" spans="1:5" ht="16.5">
      <c r="A48797" s="649"/>
      <c r="B48797" s="649"/>
      <c r="E48797" s="649"/>
    </row>
    <row r="48798" spans="1:5" ht="16.5">
      <c r="A48798" s="649"/>
      <c r="B48798" s="649"/>
      <c r="E48798" s="649"/>
    </row>
    <row r="48799" spans="1:5" ht="16.5">
      <c r="A48799" s="649"/>
      <c r="B48799" s="649"/>
      <c r="E48799" s="649"/>
    </row>
    <row r="48800" spans="1:5" ht="16.5">
      <c r="A48800" s="649"/>
      <c r="B48800" s="649"/>
      <c r="E48800" s="649"/>
    </row>
    <row r="48801" spans="1:5" ht="16.5">
      <c r="A48801" s="649"/>
      <c r="B48801" s="649"/>
      <c r="E48801" s="649"/>
    </row>
    <row r="48802" spans="1:5" ht="16.5">
      <c r="A48802" s="649"/>
      <c r="B48802" s="649"/>
      <c r="E48802" s="649"/>
    </row>
    <row r="48803" spans="1:5" ht="16.5">
      <c r="A48803" s="649"/>
      <c r="B48803" s="649"/>
      <c r="E48803" s="649"/>
    </row>
    <row r="48804" spans="1:5" ht="16.5">
      <c r="A48804" s="649"/>
      <c r="B48804" s="649"/>
      <c r="E48804" s="649"/>
    </row>
    <row r="48805" spans="1:5" ht="16.5">
      <c r="A48805" s="649"/>
      <c r="B48805" s="649"/>
      <c r="E48805" s="649"/>
    </row>
    <row r="48806" spans="1:5" ht="16.5">
      <c r="A48806" s="649"/>
      <c r="B48806" s="649"/>
      <c r="E48806" s="649"/>
    </row>
    <row r="48807" spans="1:5" ht="16.5">
      <c r="A48807" s="649"/>
      <c r="B48807" s="649"/>
      <c r="E48807" s="649"/>
    </row>
    <row r="48808" spans="1:5" ht="16.5">
      <c r="A48808" s="649"/>
      <c r="B48808" s="649"/>
      <c r="E48808" s="649"/>
    </row>
    <row r="48809" spans="1:5" ht="16.5">
      <c r="A48809" s="649"/>
      <c r="B48809" s="649"/>
      <c r="E48809" s="649"/>
    </row>
    <row r="48810" spans="1:5" ht="16.5">
      <c r="A48810" s="649"/>
      <c r="B48810" s="649"/>
      <c r="E48810" s="649"/>
    </row>
    <row r="48811" spans="1:5" ht="16.5">
      <c r="A48811" s="649"/>
      <c r="B48811" s="649"/>
      <c r="E48811" s="649"/>
    </row>
    <row r="48812" spans="1:5" ht="16.5">
      <c r="A48812" s="649"/>
      <c r="B48812" s="649"/>
      <c r="E48812" s="649"/>
    </row>
    <row r="48813" spans="1:5" ht="16.5">
      <c r="A48813" s="649"/>
      <c r="B48813" s="649"/>
      <c r="E48813" s="649"/>
    </row>
    <row r="48814" spans="1:5" ht="16.5">
      <c r="A48814" s="649"/>
      <c r="B48814" s="649"/>
      <c r="E48814" s="649"/>
    </row>
    <row r="48815" spans="1:5" ht="16.5">
      <c r="A48815" s="649"/>
      <c r="B48815" s="649"/>
      <c r="E48815" s="649"/>
    </row>
    <row r="48816" spans="1:5" ht="16.5">
      <c r="A48816" s="649"/>
      <c r="B48816" s="649"/>
      <c r="E48816" s="649"/>
    </row>
    <row r="48817" spans="1:5" ht="16.5">
      <c r="A48817" s="649"/>
      <c r="B48817" s="649"/>
      <c r="E48817" s="649"/>
    </row>
    <row r="48818" spans="1:5" ht="16.5">
      <c r="A48818" s="649"/>
      <c r="B48818" s="649"/>
      <c r="E48818" s="649"/>
    </row>
    <row r="48819" spans="1:5" ht="16.5">
      <c r="A48819" s="649"/>
      <c r="B48819" s="649"/>
      <c r="E48819" s="649"/>
    </row>
    <row r="48820" spans="1:5" ht="16.5">
      <c r="A48820" s="649"/>
      <c r="B48820" s="649"/>
      <c r="E48820" s="649"/>
    </row>
    <row r="48821" spans="1:5" ht="16.5">
      <c r="A48821" s="649"/>
      <c r="B48821" s="649"/>
      <c r="E48821" s="649"/>
    </row>
    <row r="48822" spans="1:5" ht="16.5">
      <c r="A48822" s="649"/>
      <c r="B48822" s="649"/>
      <c r="E48822" s="649"/>
    </row>
    <row r="48823" spans="1:5" ht="16.5">
      <c r="A48823" s="649"/>
      <c r="B48823" s="649"/>
      <c r="E48823" s="649"/>
    </row>
    <row r="48824" spans="1:5" ht="16.5">
      <c r="A48824" s="649"/>
      <c r="B48824" s="649"/>
      <c r="E48824" s="649"/>
    </row>
    <row r="48825" spans="1:5" ht="16.5">
      <c r="A48825" s="649"/>
      <c r="B48825" s="649"/>
      <c r="E48825" s="649"/>
    </row>
    <row r="48826" spans="1:5" ht="16.5">
      <c r="A48826" s="649"/>
      <c r="B48826" s="649"/>
      <c r="E48826" s="649"/>
    </row>
    <row r="48827" spans="1:5" ht="16.5">
      <c r="A48827" s="649"/>
      <c r="B48827" s="649"/>
      <c r="E48827" s="649"/>
    </row>
    <row r="48828" spans="1:5" ht="16.5">
      <c r="A48828" s="649"/>
      <c r="B48828" s="649"/>
      <c r="E48828" s="649"/>
    </row>
    <row r="48829" spans="1:5" ht="16.5">
      <c r="A48829" s="649"/>
      <c r="B48829" s="649"/>
      <c r="E48829" s="649"/>
    </row>
    <row r="48830" spans="1:5" ht="16.5">
      <c r="A48830" s="649"/>
      <c r="B48830" s="649"/>
      <c r="E48830" s="649"/>
    </row>
    <row r="48831" spans="1:5" ht="16.5">
      <c r="A48831" s="649"/>
      <c r="B48831" s="649"/>
      <c r="E48831" s="649"/>
    </row>
    <row r="48832" spans="1:5" ht="16.5">
      <c r="A48832" s="649"/>
      <c r="B48832" s="649"/>
      <c r="E48832" s="649"/>
    </row>
    <row r="48833" spans="1:5" ht="16.5">
      <c r="A48833" s="649"/>
      <c r="B48833" s="649"/>
      <c r="E48833" s="649"/>
    </row>
    <row r="48834" spans="1:5" ht="16.5">
      <c r="A48834" s="649"/>
      <c r="B48834" s="649"/>
      <c r="E48834" s="649"/>
    </row>
    <row r="48835" spans="1:5" ht="16.5">
      <c r="A48835" s="649"/>
      <c r="B48835" s="649"/>
      <c r="E48835" s="649"/>
    </row>
    <row r="48836" spans="1:5" ht="16.5">
      <c r="A48836" s="649"/>
      <c r="B48836" s="649"/>
      <c r="E48836" s="649"/>
    </row>
    <row r="48837" spans="1:5" ht="16.5">
      <c r="A48837" s="649"/>
      <c r="B48837" s="649"/>
      <c r="E48837" s="649"/>
    </row>
    <row r="48838" spans="1:5" ht="16.5">
      <c r="A48838" s="649"/>
      <c r="B48838" s="649"/>
      <c r="E48838" s="649"/>
    </row>
    <row r="48839" spans="1:5" ht="16.5">
      <c r="A48839" s="649"/>
      <c r="B48839" s="649"/>
      <c r="E48839" s="649"/>
    </row>
    <row r="48840" spans="1:5" ht="16.5">
      <c r="A48840" s="649"/>
      <c r="B48840" s="649"/>
      <c r="E48840" s="649"/>
    </row>
    <row r="48841" spans="1:5" ht="16.5">
      <c r="A48841" s="649"/>
      <c r="B48841" s="649"/>
      <c r="E48841" s="649"/>
    </row>
    <row r="48842" spans="1:5" ht="16.5">
      <c r="A48842" s="649"/>
      <c r="B48842" s="649"/>
      <c r="E48842" s="649"/>
    </row>
    <row r="48843" spans="1:5" ht="16.5">
      <c r="A48843" s="649"/>
      <c r="B48843" s="649"/>
      <c r="E48843" s="649"/>
    </row>
    <row r="48844" spans="1:5" ht="16.5">
      <c r="A48844" s="649"/>
      <c r="B48844" s="649"/>
      <c r="E48844" s="649"/>
    </row>
    <row r="48845" spans="1:5" ht="16.5">
      <c r="A48845" s="649"/>
      <c r="B48845" s="649"/>
      <c r="E48845" s="649"/>
    </row>
    <row r="48846" spans="1:5" ht="16.5">
      <c r="A48846" s="649"/>
      <c r="B48846" s="649"/>
      <c r="E48846" s="649"/>
    </row>
    <row r="48847" spans="1:5" ht="16.5">
      <c r="A48847" s="649"/>
      <c r="B48847" s="649"/>
      <c r="E48847" s="649"/>
    </row>
    <row r="48848" spans="1:5" ht="16.5">
      <c r="A48848" s="649"/>
      <c r="B48848" s="649"/>
      <c r="E48848" s="649"/>
    </row>
    <row r="48849" spans="1:5" ht="16.5">
      <c r="A48849" s="649"/>
      <c r="B48849" s="649"/>
      <c r="E48849" s="649"/>
    </row>
    <row r="48850" spans="1:5" ht="16.5">
      <c r="A48850" s="649"/>
      <c r="B48850" s="649"/>
      <c r="E48850" s="649"/>
    </row>
    <row r="48851" spans="1:5" ht="16.5">
      <c r="A48851" s="649"/>
      <c r="B48851" s="649"/>
      <c r="E48851" s="649"/>
    </row>
    <row r="48852" spans="1:5" ht="16.5">
      <c r="A48852" s="649"/>
      <c r="B48852" s="649"/>
      <c r="E48852" s="649"/>
    </row>
    <row r="48853" spans="1:5" ht="16.5">
      <c r="A48853" s="649"/>
      <c r="B48853" s="649"/>
      <c r="E48853" s="649"/>
    </row>
    <row r="48854" spans="1:5" ht="16.5">
      <c r="A48854" s="649"/>
      <c r="B48854" s="649"/>
      <c r="E48854" s="649"/>
    </row>
    <row r="48855" spans="1:5" ht="16.5">
      <c r="A48855" s="649"/>
      <c r="B48855" s="649"/>
      <c r="E48855" s="649"/>
    </row>
    <row r="48856" spans="1:5" ht="16.5">
      <c r="A48856" s="649"/>
      <c r="B48856" s="649"/>
      <c r="E48856" s="649"/>
    </row>
    <row r="48857" spans="1:5" ht="16.5">
      <c r="A48857" s="649"/>
      <c r="B48857" s="649"/>
      <c r="E48857" s="649"/>
    </row>
    <row r="48858" spans="1:5" ht="16.5">
      <c r="A48858" s="649"/>
      <c r="B48858" s="649"/>
      <c r="E48858" s="649"/>
    </row>
    <row r="48859" spans="1:5" ht="16.5">
      <c r="A48859" s="649"/>
      <c r="B48859" s="649"/>
      <c r="E48859" s="649"/>
    </row>
    <row r="48860" spans="1:5" ht="16.5">
      <c r="A48860" s="649"/>
      <c r="B48860" s="649"/>
      <c r="E48860" s="649"/>
    </row>
    <row r="48861" spans="1:5" ht="16.5">
      <c r="A48861" s="649"/>
      <c r="B48861" s="649"/>
      <c r="E48861" s="649"/>
    </row>
    <row r="48862" spans="1:5" ht="16.5">
      <c r="A48862" s="649"/>
      <c r="B48862" s="649"/>
      <c r="E48862" s="649"/>
    </row>
    <row r="48863" spans="1:5" ht="16.5">
      <c r="A48863" s="649"/>
      <c r="B48863" s="649"/>
      <c r="E48863" s="649"/>
    </row>
    <row r="48864" spans="1:5" ht="16.5">
      <c r="A48864" s="649"/>
      <c r="B48864" s="649"/>
      <c r="E48864" s="649"/>
    </row>
    <row r="48865" spans="1:5" ht="16.5">
      <c r="A48865" s="649"/>
      <c r="B48865" s="649"/>
      <c r="E48865" s="649"/>
    </row>
    <row r="48866" spans="1:5" ht="16.5">
      <c r="A48866" s="649"/>
      <c r="B48866" s="649"/>
      <c r="E48866" s="649"/>
    </row>
    <row r="48867" spans="1:5" ht="16.5">
      <c r="A48867" s="649"/>
      <c r="B48867" s="649"/>
      <c r="E48867" s="649"/>
    </row>
    <row r="48868" spans="1:5" ht="16.5">
      <c r="A48868" s="649"/>
      <c r="B48868" s="649"/>
      <c r="E48868" s="649"/>
    </row>
    <row r="48869" spans="1:5" ht="16.5">
      <c r="A48869" s="649"/>
      <c r="B48869" s="649"/>
      <c r="E48869" s="649"/>
    </row>
    <row r="48870" spans="1:5" ht="16.5">
      <c r="A48870" s="649"/>
      <c r="B48870" s="649"/>
      <c r="E48870" s="649"/>
    </row>
    <row r="48871" spans="1:5" ht="16.5">
      <c r="A48871" s="649"/>
      <c r="B48871" s="649"/>
      <c r="E48871" s="649"/>
    </row>
    <row r="48872" spans="1:5" ht="16.5">
      <c r="A48872" s="649"/>
      <c r="B48872" s="649"/>
      <c r="E48872" s="649"/>
    </row>
    <row r="48873" spans="1:5" ht="16.5">
      <c r="A48873" s="649"/>
      <c r="B48873" s="649"/>
      <c r="E48873" s="649"/>
    </row>
    <row r="48874" spans="1:5" ht="16.5">
      <c r="A48874" s="649"/>
      <c r="B48874" s="649"/>
      <c r="E48874" s="649"/>
    </row>
    <row r="48875" spans="1:5" ht="16.5">
      <c r="A48875" s="649"/>
      <c r="B48875" s="649"/>
      <c r="E48875" s="649"/>
    </row>
    <row r="48876" spans="1:5" ht="16.5">
      <c r="A48876" s="649"/>
      <c r="B48876" s="649"/>
      <c r="E48876" s="649"/>
    </row>
    <row r="48877" spans="1:5" ht="16.5">
      <c r="A48877" s="649"/>
      <c r="B48877" s="649"/>
      <c r="E48877" s="649"/>
    </row>
    <row r="48878" spans="1:5" ht="16.5">
      <c r="A48878" s="649"/>
      <c r="B48878" s="649"/>
      <c r="E48878" s="649"/>
    </row>
    <row r="48879" spans="1:5" ht="16.5">
      <c r="A48879" s="649"/>
      <c r="B48879" s="649"/>
      <c r="E48879" s="649"/>
    </row>
    <row r="48880" spans="1:5" ht="16.5">
      <c r="A48880" s="649"/>
      <c r="B48880" s="649"/>
      <c r="E48880" s="649"/>
    </row>
    <row r="48881" spans="1:5" ht="16.5">
      <c r="A48881" s="649"/>
      <c r="B48881" s="649"/>
      <c r="E48881" s="649"/>
    </row>
    <row r="48882" spans="1:5" ht="16.5">
      <c r="A48882" s="649"/>
      <c r="B48882" s="649"/>
      <c r="E48882" s="649"/>
    </row>
    <row r="48883" spans="1:5" ht="16.5">
      <c r="A48883" s="649"/>
      <c r="B48883" s="649"/>
      <c r="E48883" s="649"/>
    </row>
    <row r="48884" spans="1:5" ht="16.5">
      <c r="A48884" s="649"/>
      <c r="B48884" s="649"/>
      <c r="E48884" s="649"/>
    </row>
    <row r="48885" spans="1:5" ht="16.5">
      <c r="A48885" s="649"/>
      <c r="B48885" s="649"/>
      <c r="E48885" s="649"/>
    </row>
    <row r="48886" spans="1:5" ht="16.5">
      <c r="A48886" s="649"/>
      <c r="B48886" s="649"/>
      <c r="E48886" s="649"/>
    </row>
    <row r="48887" spans="1:5" ht="16.5">
      <c r="A48887" s="649"/>
      <c r="B48887" s="649"/>
      <c r="E48887" s="649"/>
    </row>
    <row r="48888" spans="1:5" ht="16.5">
      <c r="A48888" s="649"/>
      <c r="B48888" s="649"/>
      <c r="E48888" s="649"/>
    </row>
    <row r="48889" spans="1:5" ht="16.5">
      <c r="A48889" s="649"/>
      <c r="B48889" s="649"/>
      <c r="E48889" s="649"/>
    </row>
    <row r="48890" spans="1:5" ht="16.5">
      <c r="A48890" s="649"/>
      <c r="B48890" s="649"/>
      <c r="E48890" s="649"/>
    </row>
    <row r="48891" spans="1:5" ht="16.5">
      <c r="A48891" s="649"/>
      <c r="B48891" s="649"/>
      <c r="E48891" s="649"/>
    </row>
    <row r="48892" spans="1:5" ht="16.5">
      <c r="A48892" s="649"/>
      <c r="B48892" s="649"/>
      <c r="E48892" s="649"/>
    </row>
    <row r="48893" spans="1:5" ht="16.5">
      <c r="A48893" s="649"/>
      <c r="B48893" s="649"/>
      <c r="E48893" s="649"/>
    </row>
    <row r="48894" spans="1:5" ht="16.5">
      <c r="A48894" s="649"/>
      <c r="B48894" s="649"/>
      <c r="E48894" s="649"/>
    </row>
    <row r="48895" spans="1:5" ht="16.5">
      <c r="A48895" s="649"/>
      <c r="B48895" s="649"/>
      <c r="E48895" s="649"/>
    </row>
    <row r="48896" spans="1:5" ht="16.5">
      <c r="A48896" s="649"/>
      <c r="B48896" s="649"/>
      <c r="E48896" s="649"/>
    </row>
    <row r="48897" spans="1:5" ht="16.5">
      <c r="A48897" s="649"/>
      <c r="B48897" s="649"/>
      <c r="E48897" s="649"/>
    </row>
    <row r="48898" spans="1:5" ht="16.5">
      <c r="A48898" s="649"/>
      <c r="B48898" s="649"/>
      <c r="E48898" s="649"/>
    </row>
    <row r="48899" spans="1:5" ht="16.5">
      <c r="A48899" s="649"/>
      <c r="B48899" s="649"/>
      <c r="E48899" s="649"/>
    </row>
    <row r="48900" spans="1:5" ht="16.5">
      <c r="A48900" s="649"/>
      <c r="B48900" s="649"/>
      <c r="E48900" s="649"/>
    </row>
    <row r="48901" spans="1:5" ht="16.5">
      <c r="A48901" s="649"/>
      <c r="B48901" s="649"/>
      <c r="E48901" s="649"/>
    </row>
    <row r="48902" spans="1:5" ht="16.5">
      <c r="A48902" s="649"/>
      <c r="B48902" s="649"/>
      <c r="E48902" s="649"/>
    </row>
    <row r="48903" spans="1:5" ht="16.5">
      <c r="A48903" s="649"/>
      <c r="B48903" s="649"/>
      <c r="E48903" s="649"/>
    </row>
    <row r="48904" spans="1:5" ht="16.5">
      <c r="A48904" s="649"/>
      <c r="B48904" s="649"/>
      <c r="E48904" s="649"/>
    </row>
    <row r="48905" spans="1:5" ht="16.5">
      <c r="A48905" s="649"/>
      <c r="B48905" s="649"/>
      <c r="E48905" s="649"/>
    </row>
    <row r="48906" spans="1:5" ht="16.5">
      <c r="A48906" s="649"/>
      <c r="B48906" s="649"/>
      <c r="E48906" s="649"/>
    </row>
    <row r="48907" spans="1:5" ht="16.5">
      <c r="A48907" s="649"/>
      <c r="B48907" s="649"/>
      <c r="E48907" s="649"/>
    </row>
    <row r="48908" spans="1:5" ht="16.5">
      <c r="A48908" s="649"/>
      <c r="B48908" s="649"/>
      <c r="E48908" s="649"/>
    </row>
    <row r="48909" spans="1:5" ht="16.5">
      <c r="A48909" s="649"/>
      <c r="B48909" s="649"/>
      <c r="E48909" s="649"/>
    </row>
    <row r="48910" spans="1:5" ht="16.5">
      <c r="A48910" s="649"/>
      <c r="B48910" s="649"/>
      <c r="E48910" s="649"/>
    </row>
    <row r="48911" spans="1:5" ht="16.5">
      <c r="A48911" s="649"/>
      <c r="B48911" s="649"/>
      <c r="E48911" s="649"/>
    </row>
    <row r="48912" spans="1:5" ht="16.5">
      <c r="A48912" s="649"/>
      <c r="B48912" s="649"/>
      <c r="E48912" s="649"/>
    </row>
    <row r="48913" spans="1:5" ht="16.5">
      <c r="A48913" s="649"/>
      <c r="B48913" s="649"/>
      <c r="E48913" s="649"/>
    </row>
    <row r="48914" spans="1:5" ht="16.5">
      <c r="A48914" s="649"/>
      <c r="B48914" s="649"/>
      <c r="E48914" s="649"/>
    </row>
    <row r="48915" spans="1:5" ht="16.5">
      <c r="A48915" s="649"/>
      <c r="B48915" s="649"/>
      <c r="E48915" s="649"/>
    </row>
    <row r="48916" spans="1:5" ht="16.5">
      <c r="A48916" s="649"/>
      <c r="B48916" s="649"/>
      <c r="E48916" s="649"/>
    </row>
    <row r="48917" spans="1:5" ht="16.5">
      <c r="A48917" s="649"/>
      <c r="B48917" s="649"/>
      <c r="E48917" s="649"/>
    </row>
    <row r="48918" spans="1:5" ht="16.5">
      <c r="A48918" s="649"/>
      <c r="B48918" s="649"/>
      <c r="E48918" s="649"/>
    </row>
    <row r="48919" spans="1:5" ht="16.5">
      <c r="A48919" s="649"/>
      <c r="B48919" s="649"/>
      <c r="E48919" s="649"/>
    </row>
    <row r="48920" spans="1:5" ht="16.5">
      <c r="A48920" s="649"/>
      <c r="B48920" s="649"/>
      <c r="E48920" s="649"/>
    </row>
    <row r="48921" spans="1:5" ht="16.5">
      <c r="A48921" s="649"/>
      <c r="B48921" s="649"/>
      <c r="E48921" s="649"/>
    </row>
    <row r="48922" spans="1:5" ht="16.5">
      <c r="A48922" s="649"/>
      <c r="B48922" s="649"/>
      <c r="E48922" s="649"/>
    </row>
    <row r="48923" spans="1:5" ht="16.5">
      <c r="A48923" s="649"/>
      <c r="B48923" s="649"/>
      <c r="E48923" s="649"/>
    </row>
    <row r="48924" spans="1:5" ht="16.5">
      <c r="A48924" s="649"/>
      <c r="B48924" s="649"/>
      <c r="E48924" s="649"/>
    </row>
    <row r="48925" spans="1:5" ht="16.5">
      <c r="A48925" s="649"/>
      <c r="B48925" s="649"/>
      <c r="E48925" s="649"/>
    </row>
    <row r="48926" spans="1:5" ht="16.5">
      <c r="A48926" s="649"/>
      <c r="B48926" s="649"/>
      <c r="E48926" s="649"/>
    </row>
    <row r="48927" spans="1:5" ht="16.5">
      <c r="A48927" s="649"/>
      <c r="B48927" s="649"/>
      <c r="E48927" s="649"/>
    </row>
    <row r="48928" spans="1:5" ht="16.5">
      <c r="A48928" s="649"/>
      <c r="B48928" s="649"/>
      <c r="E48928" s="649"/>
    </row>
    <row r="48929" spans="1:5" ht="16.5">
      <c r="A48929" s="649"/>
      <c r="B48929" s="649"/>
      <c r="E48929" s="649"/>
    </row>
    <row r="48930" spans="1:5" ht="16.5">
      <c r="A48930" s="649"/>
      <c r="B48930" s="649"/>
      <c r="E48930" s="649"/>
    </row>
    <row r="48931" spans="1:5" ht="16.5">
      <c r="A48931" s="649"/>
      <c r="B48931" s="649"/>
      <c r="E48931" s="649"/>
    </row>
    <row r="48932" spans="1:5" ht="16.5">
      <c r="A48932" s="649"/>
      <c r="B48932" s="649"/>
      <c r="E48932" s="649"/>
    </row>
    <row r="48933" spans="1:5" ht="16.5">
      <c r="A48933" s="649"/>
      <c r="B48933" s="649"/>
      <c r="E48933" s="649"/>
    </row>
    <row r="48934" spans="1:5" ht="16.5">
      <c r="A48934" s="649"/>
      <c r="B48934" s="649"/>
      <c r="E48934" s="649"/>
    </row>
    <row r="48935" spans="1:5" ht="16.5">
      <c r="A48935" s="649"/>
      <c r="B48935" s="649"/>
      <c r="E48935" s="649"/>
    </row>
    <row r="48936" spans="1:5" ht="16.5">
      <c r="A48936" s="649"/>
      <c r="B48936" s="649"/>
      <c r="E48936" s="649"/>
    </row>
    <row r="48937" spans="1:5" ht="16.5">
      <c r="A48937" s="649"/>
      <c r="B48937" s="649"/>
      <c r="E48937" s="649"/>
    </row>
    <row r="48938" spans="1:5" ht="16.5">
      <c r="A48938" s="649"/>
      <c r="B48938" s="649"/>
      <c r="E48938" s="649"/>
    </row>
    <row r="48939" spans="1:5" ht="16.5">
      <c r="A48939" s="649"/>
      <c r="B48939" s="649"/>
      <c r="E48939" s="649"/>
    </row>
    <row r="48940" spans="1:5" ht="16.5">
      <c r="A48940" s="649"/>
      <c r="B48940" s="649"/>
      <c r="E48940" s="649"/>
    </row>
    <row r="48941" spans="1:5" ht="16.5">
      <c r="A48941" s="649"/>
      <c r="B48941" s="649"/>
      <c r="E48941" s="649"/>
    </row>
    <row r="48942" spans="1:5" ht="16.5">
      <c r="A48942" s="649"/>
      <c r="B48942" s="649"/>
      <c r="E48942" s="649"/>
    </row>
    <row r="48943" spans="1:5" ht="16.5">
      <c r="A48943" s="649"/>
      <c r="B48943" s="649"/>
      <c r="E48943" s="649"/>
    </row>
    <row r="48944" spans="1:5" ht="16.5">
      <c r="A48944" s="649"/>
      <c r="B48944" s="649"/>
      <c r="E48944" s="649"/>
    </row>
    <row r="48945" spans="1:5" ht="16.5">
      <c r="A48945" s="649"/>
      <c r="B48945" s="649"/>
      <c r="E48945" s="649"/>
    </row>
    <row r="48946" spans="1:5" ht="16.5">
      <c r="A48946" s="649"/>
      <c r="B48946" s="649"/>
      <c r="E48946" s="649"/>
    </row>
    <row r="48947" spans="1:5" ht="16.5">
      <c r="A48947" s="649"/>
      <c r="B48947" s="649"/>
      <c r="E48947" s="649"/>
    </row>
    <row r="48948" spans="1:5" ht="16.5">
      <c r="A48948" s="649"/>
      <c r="B48948" s="649"/>
      <c r="E48948" s="649"/>
    </row>
    <row r="48949" spans="1:5" ht="16.5">
      <c r="A48949" s="649"/>
      <c r="B48949" s="649"/>
      <c r="E48949" s="649"/>
    </row>
    <row r="48950" spans="1:5" ht="16.5">
      <c r="A48950" s="649"/>
      <c r="B48950" s="649"/>
      <c r="E48950" s="649"/>
    </row>
    <row r="48951" spans="1:5" ht="16.5">
      <c r="A48951" s="649"/>
      <c r="B48951" s="649"/>
      <c r="E48951" s="649"/>
    </row>
    <row r="48952" spans="1:5" ht="16.5">
      <c r="A48952" s="649"/>
      <c r="B48952" s="649"/>
      <c r="E48952" s="649"/>
    </row>
    <row r="48953" spans="1:5" ht="16.5">
      <c r="A48953" s="649"/>
      <c r="B48953" s="649"/>
      <c r="E48953" s="649"/>
    </row>
    <row r="48954" spans="1:5" ht="16.5">
      <c r="A48954" s="649"/>
      <c r="B48954" s="649"/>
      <c r="E48954" s="649"/>
    </row>
    <row r="48955" spans="1:5" ht="16.5">
      <c r="A48955" s="649"/>
      <c r="B48955" s="649"/>
      <c r="E48955" s="649"/>
    </row>
    <row r="48956" spans="1:5" ht="16.5">
      <c r="A48956" s="649"/>
      <c r="B48956" s="649"/>
      <c r="E48956" s="649"/>
    </row>
    <row r="48957" spans="1:5" ht="16.5">
      <c r="A48957" s="649"/>
      <c r="B48957" s="649"/>
      <c r="E48957" s="649"/>
    </row>
    <row r="48958" spans="1:5" ht="16.5">
      <c r="A48958" s="649"/>
      <c r="B48958" s="649"/>
      <c r="E48958" s="649"/>
    </row>
    <row r="48959" spans="1:5" ht="16.5">
      <c r="A48959" s="649"/>
      <c r="B48959" s="649"/>
      <c r="E48959" s="649"/>
    </row>
    <row r="48960" spans="1:5" ht="16.5">
      <c r="A48960" s="649"/>
      <c r="B48960" s="649"/>
      <c r="E48960" s="649"/>
    </row>
    <row r="48961" spans="1:5" ht="16.5">
      <c r="A48961" s="649"/>
      <c r="B48961" s="649"/>
      <c r="E48961" s="649"/>
    </row>
    <row r="48962" spans="1:5" ht="16.5">
      <c r="A48962" s="649"/>
      <c r="B48962" s="649"/>
      <c r="E48962" s="649"/>
    </row>
    <row r="48963" spans="1:5" ht="16.5">
      <c r="A48963" s="649"/>
      <c r="B48963" s="649"/>
      <c r="E48963" s="649"/>
    </row>
    <row r="48964" spans="1:5" ht="16.5">
      <c r="A48964" s="649"/>
      <c r="B48964" s="649"/>
      <c r="E48964" s="649"/>
    </row>
    <row r="48965" spans="1:5" ht="16.5">
      <c r="A48965" s="649"/>
      <c r="B48965" s="649"/>
      <c r="E48965" s="649"/>
    </row>
    <row r="48966" spans="1:5" ht="16.5">
      <c r="A48966" s="649"/>
      <c r="B48966" s="649"/>
      <c r="E48966" s="649"/>
    </row>
    <row r="48967" spans="1:5" ht="16.5">
      <c r="A48967" s="649"/>
      <c r="B48967" s="649"/>
      <c r="E48967" s="649"/>
    </row>
    <row r="48968" spans="1:5" ht="16.5">
      <c r="A48968" s="649"/>
      <c r="B48968" s="649"/>
      <c r="E48968" s="649"/>
    </row>
    <row r="48969" spans="1:5" ht="16.5">
      <c r="A48969" s="649"/>
      <c r="B48969" s="649"/>
      <c r="E48969" s="649"/>
    </row>
    <row r="48970" spans="1:5" ht="16.5">
      <c r="A48970" s="649"/>
      <c r="B48970" s="649"/>
      <c r="E48970" s="649"/>
    </row>
    <row r="48971" spans="1:5" ht="16.5">
      <c r="A48971" s="649"/>
      <c r="B48971" s="649"/>
      <c r="E48971" s="649"/>
    </row>
    <row r="48972" spans="1:5" ht="16.5">
      <c r="A48972" s="649"/>
      <c r="B48972" s="649"/>
      <c r="E48972" s="649"/>
    </row>
    <row r="48973" spans="1:5" ht="16.5">
      <c r="A48973" s="649"/>
      <c r="B48973" s="649"/>
      <c r="E48973" s="649"/>
    </row>
    <row r="48974" spans="1:5" ht="16.5">
      <c r="A48974" s="649"/>
      <c r="B48974" s="649"/>
      <c r="E48974" s="649"/>
    </row>
    <row r="48975" spans="1:5" ht="16.5">
      <c r="A48975" s="649"/>
      <c r="B48975" s="649"/>
      <c r="E48975" s="649"/>
    </row>
    <row r="48976" spans="1:5" ht="16.5">
      <c r="A48976" s="649"/>
      <c r="B48976" s="649"/>
      <c r="E48976" s="649"/>
    </row>
    <row r="48977" spans="1:5" ht="16.5">
      <c r="A48977" s="649"/>
      <c r="B48977" s="649"/>
      <c r="E48977" s="649"/>
    </row>
    <row r="48978" spans="1:5" ht="16.5">
      <c r="A48978" s="649"/>
      <c r="B48978" s="649"/>
      <c r="E48978" s="649"/>
    </row>
    <row r="48979" spans="1:5" ht="16.5">
      <c r="A48979" s="649"/>
      <c r="B48979" s="649"/>
      <c r="E48979" s="649"/>
    </row>
    <row r="48980" spans="1:5" ht="16.5">
      <c r="A48980" s="649"/>
      <c r="B48980" s="649"/>
      <c r="E48980" s="649"/>
    </row>
    <row r="48981" spans="1:5" ht="16.5">
      <c r="A48981" s="649"/>
      <c r="B48981" s="649"/>
      <c r="E48981" s="649"/>
    </row>
    <row r="48982" spans="1:5" ht="16.5">
      <c r="A48982" s="649"/>
      <c r="B48982" s="649"/>
      <c r="E48982" s="649"/>
    </row>
    <row r="48983" spans="1:5" ht="16.5">
      <c r="A48983" s="649"/>
      <c r="B48983" s="649"/>
      <c r="E48983" s="649"/>
    </row>
    <row r="48984" spans="1:5" ht="16.5">
      <c r="A48984" s="649"/>
      <c r="B48984" s="649"/>
      <c r="E48984" s="649"/>
    </row>
    <row r="48985" spans="1:5" ht="16.5">
      <c r="A48985" s="649"/>
      <c r="B48985" s="649"/>
      <c r="E48985" s="649"/>
    </row>
    <row r="48986" spans="1:5" ht="16.5">
      <c r="A48986" s="649"/>
      <c r="B48986" s="649"/>
      <c r="E48986" s="649"/>
    </row>
    <row r="48987" spans="1:5" ht="16.5">
      <c r="A48987" s="649"/>
      <c r="B48987" s="649"/>
      <c r="E48987" s="649"/>
    </row>
    <row r="48988" spans="1:5" ht="16.5">
      <c r="A48988" s="649"/>
      <c r="B48988" s="649"/>
      <c r="E48988" s="649"/>
    </row>
    <row r="48989" spans="1:5" ht="16.5">
      <c r="A48989" s="649"/>
      <c r="B48989" s="649"/>
      <c r="E48989" s="649"/>
    </row>
    <row r="48990" spans="1:5" ht="16.5">
      <c r="A48990" s="649"/>
      <c r="B48990" s="649"/>
      <c r="E48990" s="649"/>
    </row>
    <row r="48991" spans="1:5" ht="16.5">
      <c r="A48991" s="649"/>
      <c r="B48991" s="649"/>
      <c r="E48991" s="649"/>
    </row>
    <row r="48992" spans="1:5" ht="16.5">
      <c r="A48992" s="649"/>
      <c r="B48992" s="649"/>
      <c r="E48992" s="649"/>
    </row>
    <row r="48993" spans="1:5" ht="16.5">
      <c r="A48993" s="649"/>
      <c r="B48993" s="649"/>
      <c r="E48993" s="649"/>
    </row>
    <row r="48994" spans="1:5" ht="16.5">
      <c r="A48994" s="649"/>
      <c r="B48994" s="649"/>
      <c r="E48994" s="649"/>
    </row>
    <row r="48995" spans="1:5" ht="16.5">
      <c r="A48995" s="649"/>
      <c r="B48995" s="649"/>
      <c r="E48995" s="649"/>
    </row>
    <row r="48996" spans="1:5" ht="16.5">
      <c r="A48996" s="649"/>
      <c r="B48996" s="649"/>
      <c r="E48996" s="649"/>
    </row>
    <row r="48997" spans="1:5" ht="16.5">
      <c r="A48997" s="649"/>
      <c r="B48997" s="649"/>
      <c r="E48997" s="649"/>
    </row>
    <row r="48998" spans="1:5" ht="16.5">
      <c r="A48998" s="649"/>
      <c r="B48998" s="649"/>
      <c r="E48998" s="649"/>
    </row>
    <row r="48999" spans="1:5" ht="16.5">
      <c r="A48999" s="649"/>
      <c r="B48999" s="649"/>
      <c r="E48999" s="649"/>
    </row>
    <row r="49000" spans="1:5" ht="16.5">
      <c r="A49000" s="649"/>
      <c r="B49000" s="649"/>
      <c r="E49000" s="649"/>
    </row>
    <row r="49001" spans="1:5" ht="16.5">
      <c r="A49001" s="649"/>
      <c r="B49001" s="649"/>
      <c r="E49001" s="649"/>
    </row>
    <row r="49002" spans="1:5" ht="16.5">
      <c r="A49002" s="649"/>
      <c r="B49002" s="649"/>
      <c r="E49002" s="649"/>
    </row>
    <row r="49003" spans="1:5" ht="16.5">
      <c r="A49003" s="649"/>
      <c r="B49003" s="649"/>
      <c r="E49003" s="649"/>
    </row>
    <row r="49004" spans="1:5" ht="16.5">
      <c r="A49004" s="649"/>
      <c r="B49004" s="649"/>
      <c r="E49004" s="649"/>
    </row>
    <row r="49005" spans="1:5" ht="16.5">
      <c r="A49005" s="649"/>
      <c r="B49005" s="649"/>
      <c r="E49005" s="649"/>
    </row>
    <row r="49006" spans="1:5" ht="16.5">
      <c r="A49006" s="649"/>
      <c r="B49006" s="649"/>
      <c r="E49006" s="649"/>
    </row>
    <row r="49007" spans="1:5" ht="16.5">
      <c r="A49007" s="649"/>
      <c r="B49007" s="649"/>
      <c r="E49007" s="649"/>
    </row>
    <row r="49008" spans="1:5" ht="16.5">
      <c r="A49008" s="649"/>
      <c r="B49008" s="649"/>
      <c r="E49008" s="649"/>
    </row>
    <row r="49009" spans="1:5" ht="16.5">
      <c r="A49009" s="649"/>
      <c r="B49009" s="649"/>
      <c r="E49009" s="649"/>
    </row>
    <row r="49010" spans="1:5" ht="16.5">
      <c r="A49010" s="649"/>
      <c r="B49010" s="649"/>
      <c r="E49010" s="649"/>
    </row>
    <row r="49011" spans="1:5" ht="16.5">
      <c r="A49011" s="649"/>
      <c r="B49011" s="649"/>
      <c r="E49011" s="649"/>
    </row>
    <row r="49012" spans="1:5" ht="16.5">
      <c r="A49012" s="649"/>
      <c r="B49012" s="649"/>
      <c r="E49012" s="649"/>
    </row>
    <row r="49013" spans="1:5" ht="16.5">
      <c r="A49013" s="649"/>
      <c r="B49013" s="649"/>
      <c r="E49013" s="649"/>
    </row>
    <row r="49014" spans="1:5" ht="16.5">
      <c r="A49014" s="649"/>
      <c r="B49014" s="649"/>
      <c r="E49014" s="649"/>
    </row>
    <row r="49015" spans="1:5" ht="16.5">
      <c r="A49015" s="649"/>
      <c r="B49015" s="649"/>
      <c r="E49015" s="649"/>
    </row>
    <row r="49016" spans="1:5" ht="16.5">
      <c r="A49016" s="649"/>
      <c r="B49016" s="649"/>
      <c r="E49016" s="649"/>
    </row>
    <row r="49017" spans="1:5" ht="16.5">
      <c r="A49017" s="649"/>
      <c r="B49017" s="649"/>
      <c r="E49017" s="649"/>
    </row>
    <row r="49018" spans="1:5" ht="16.5">
      <c r="A49018" s="649"/>
      <c r="B49018" s="649"/>
      <c r="E49018" s="649"/>
    </row>
    <row r="49019" spans="1:5" ht="16.5">
      <c r="A49019" s="649"/>
      <c r="B49019" s="649"/>
      <c r="E49019" s="649"/>
    </row>
    <row r="49020" spans="1:5" ht="16.5">
      <c r="A49020" s="649"/>
      <c r="B49020" s="649"/>
      <c r="E49020" s="649"/>
    </row>
    <row r="49021" spans="1:5" ht="16.5">
      <c r="A49021" s="649"/>
      <c r="B49021" s="649"/>
      <c r="E49021" s="649"/>
    </row>
    <row r="49022" spans="1:5" ht="16.5">
      <c r="A49022" s="649"/>
      <c r="B49022" s="649"/>
      <c r="E49022" s="649"/>
    </row>
    <row r="49023" spans="1:5" ht="16.5">
      <c r="A49023" s="649"/>
      <c r="B49023" s="649"/>
      <c r="E49023" s="649"/>
    </row>
    <row r="49024" spans="1:5" ht="16.5">
      <c r="A49024" s="649"/>
      <c r="B49024" s="649"/>
      <c r="E49024" s="649"/>
    </row>
    <row r="49025" spans="1:5" ht="16.5">
      <c r="A49025" s="649"/>
      <c r="B49025" s="649"/>
      <c r="E49025" s="649"/>
    </row>
    <row r="49026" spans="1:5" ht="16.5">
      <c r="A49026" s="649"/>
      <c r="B49026" s="649"/>
      <c r="E49026" s="649"/>
    </row>
    <row r="49027" spans="1:5" ht="16.5">
      <c r="A49027" s="649"/>
      <c r="B49027" s="649"/>
      <c r="E49027" s="649"/>
    </row>
    <row r="49028" spans="1:5" ht="16.5">
      <c r="A49028" s="649"/>
      <c r="B49028" s="649"/>
      <c r="E49028" s="649"/>
    </row>
    <row r="49029" spans="1:5" ht="16.5">
      <c r="A49029" s="649"/>
      <c r="B49029" s="649"/>
      <c r="E49029" s="649"/>
    </row>
    <row r="49030" spans="1:5" ht="16.5">
      <c r="A49030" s="649"/>
      <c r="B49030" s="649"/>
      <c r="E49030" s="649"/>
    </row>
    <row r="49031" spans="1:5" ht="16.5">
      <c r="A49031" s="649"/>
      <c r="B49031" s="649"/>
      <c r="E49031" s="649"/>
    </row>
    <row r="49032" spans="1:5" ht="16.5">
      <c r="A49032" s="649"/>
      <c r="B49032" s="649"/>
      <c r="E49032" s="649"/>
    </row>
    <row r="49033" spans="1:5" ht="16.5">
      <c r="A49033" s="649"/>
      <c r="B49033" s="649"/>
      <c r="E49033" s="649"/>
    </row>
    <row r="49034" spans="1:5" ht="16.5">
      <c r="A49034" s="649"/>
      <c r="B49034" s="649"/>
      <c r="E49034" s="649"/>
    </row>
    <row r="49035" spans="1:5" ht="16.5">
      <c r="A49035" s="649"/>
      <c r="B49035" s="649"/>
      <c r="E49035" s="649"/>
    </row>
    <row r="49036" spans="1:5" ht="16.5">
      <c r="A49036" s="649"/>
      <c r="B49036" s="649"/>
      <c r="E49036" s="649"/>
    </row>
    <row r="49037" spans="1:5" ht="16.5">
      <c r="A49037" s="649"/>
      <c r="B49037" s="649"/>
      <c r="E49037" s="649"/>
    </row>
    <row r="49038" spans="1:5" ht="16.5">
      <c r="A49038" s="649"/>
      <c r="B49038" s="649"/>
      <c r="E49038" s="649"/>
    </row>
    <row r="49039" spans="1:5" ht="16.5">
      <c r="A49039" s="649"/>
      <c r="B49039" s="649"/>
      <c r="E49039" s="649"/>
    </row>
    <row r="49040" spans="1:5" ht="16.5">
      <c r="A49040" s="649"/>
      <c r="B49040" s="649"/>
      <c r="E49040" s="649"/>
    </row>
    <row r="49041" spans="1:5" ht="16.5">
      <c r="A49041" s="649"/>
      <c r="B49041" s="649"/>
      <c r="E49041" s="649"/>
    </row>
    <row r="49042" spans="1:5" ht="16.5">
      <c r="A49042" s="649"/>
      <c r="B49042" s="649"/>
      <c r="E49042" s="649"/>
    </row>
    <row r="49043" spans="1:5" ht="16.5">
      <c r="A49043" s="649"/>
      <c r="B49043" s="649"/>
      <c r="E49043" s="649"/>
    </row>
    <row r="49044" spans="1:5" ht="16.5">
      <c r="A49044" s="649"/>
      <c r="B49044" s="649"/>
      <c r="E49044" s="649"/>
    </row>
    <row r="49045" spans="1:5" ht="16.5">
      <c r="A49045" s="649"/>
      <c r="B49045" s="649"/>
      <c r="E49045" s="649"/>
    </row>
    <row r="49046" spans="1:5" ht="16.5">
      <c r="A49046" s="649"/>
      <c r="B49046" s="649"/>
      <c r="E49046" s="649"/>
    </row>
    <row r="49047" spans="1:5" ht="16.5">
      <c r="A49047" s="649"/>
      <c r="B49047" s="649"/>
      <c r="E49047" s="649"/>
    </row>
    <row r="49048" spans="1:5" ht="16.5">
      <c r="A49048" s="649"/>
      <c r="B49048" s="649"/>
      <c r="E49048" s="649"/>
    </row>
    <row r="49049" spans="1:5" ht="16.5">
      <c r="A49049" s="649"/>
      <c r="B49049" s="649"/>
      <c r="E49049" s="649"/>
    </row>
    <row r="49050" spans="1:5" ht="16.5">
      <c r="A49050" s="649"/>
      <c r="B49050" s="649"/>
      <c r="E49050" s="649"/>
    </row>
    <row r="49051" spans="1:5" ht="16.5">
      <c r="A49051" s="649"/>
      <c r="B49051" s="649"/>
      <c r="E49051" s="649"/>
    </row>
    <row r="49052" spans="1:5" ht="16.5">
      <c r="A49052" s="649"/>
      <c r="B49052" s="649"/>
      <c r="E49052" s="649"/>
    </row>
    <row r="49053" spans="1:5" ht="16.5">
      <c r="A49053" s="649"/>
      <c r="B49053" s="649"/>
      <c r="E49053" s="649"/>
    </row>
    <row r="49054" spans="1:5" ht="16.5">
      <c r="A49054" s="649"/>
      <c r="B49054" s="649"/>
      <c r="E49054" s="649"/>
    </row>
    <row r="49055" spans="1:5" ht="16.5">
      <c r="A49055" s="649"/>
      <c r="B49055" s="649"/>
      <c r="E49055" s="649"/>
    </row>
    <row r="49056" spans="1:5" ht="16.5">
      <c r="A49056" s="649"/>
      <c r="B49056" s="649"/>
      <c r="E49056" s="649"/>
    </row>
    <row r="49057" spans="1:5" ht="16.5">
      <c r="A49057" s="649"/>
      <c r="B49057" s="649"/>
      <c r="E49057" s="649"/>
    </row>
    <row r="49058" spans="1:5" ht="16.5">
      <c r="A49058" s="649"/>
      <c r="B49058" s="649"/>
      <c r="E49058" s="649"/>
    </row>
    <row r="49059" spans="1:5" ht="16.5">
      <c r="A49059" s="649"/>
      <c r="B49059" s="649"/>
      <c r="E49059" s="649"/>
    </row>
    <row r="49060" spans="1:5" ht="16.5">
      <c r="A49060" s="649"/>
      <c r="B49060" s="649"/>
      <c r="E49060" s="649"/>
    </row>
    <row r="49061" spans="1:5" ht="16.5">
      <c r="A49061" s="649"/>
      <c r="B49061" s="649"/>
      <c r="E49061" s="649"/>
    </row>
    <row r="49062" spans="1:5" ht="16.5">
      <c r="A49062" s="649"/>
      <c r="B49062" s="649"/>
      <c r="E49062" s="649"/>
    </row>
    <row r="49063" spans="1:5" ht="16.5">
      <c r="A49063" s="649"/>
      <c r="B49063" s="649"/>
      <c r="E49063" s="649"/>
    </row>
    <row r="49064" spans="1:5" ht="16.5">
      <c r="A49064" s="649"/>
      <c r="B49064" s="649"/>
      <c r="E49064" s="649"/>
    </row>
    <row r="49065" spans="1:5" ht="16.5">
      <c r="A49065" s="649"/>
      <c r="B49065" s="649"/>
      <c r="E49065" s="649"/>
    </row>
    <row r="49066" spans="1:5" ht="16.5">
      <c r="A49066" s="649"/>
      <c r="B49066" s="649"/>
      <c r="E49066" s="649"/>
    </row>
    <row r="49067" spans="1:5" ht="16.5">
      <c r="A49067" s="649"/>
      <c r="B49067" s="649"/>
      <c r="E49067" s="649"/>
    </row>
    <row r="49068" spans="1:5" ht="16.5">
      <c r="A49068" s="649"/>
      <c r="B49068" s="649"/>
      <c r="E49068" s="649"/>
    </row>
    <row r="49069" spans="1:5" ht="16.5">
      <c r="A49069" s="649"/>
      <c r="B49069" s="649"/>
      <c r="E49069" s="649"/>
    </row>
    <row r="49070" spans="1:5" ht="16.5">
      <c r="A49070" s="649"/>
      <c r="B49070" s="649"/>
      <c r="E49070" s="649"/>
    </row>
    <row r="49071" spans="1:5" ht="16.5">
      <c r="A49071" s="649"/>
      <c r="B49071" s="649"/>
      <c r="E49071" s="649"/>
    </row>
    <row r="49072" spans="1:5" ht="16.5">
      <c r="A49072" s="649"/>
      <c r="B49072" s="649"/>
      <c r="E49072" s="649"/>
    </row>
    <row r="49073" spans="1:5" ht="16.5">
      <c r="A49073" s="649"/>
      <c r="B49073" s="649"/>
      <c r="E49073" s="649"/>
    </row>
    <row r="49074" spans="1:5" ht="16.5">
      <c r="A49074" s="649"/>
      <c r="B49074" s="649"/>
      <c r="E49074" s="649"/>
    </row>
    <row r="49075" spans="1:5" ht="16.5">
      <c r="A49075" s="649"/>
      <c r="B49075" s="649"/>
      <c r="E49075" s="649"/>
    </row>
    <row r="49076" spans="1:5" ht="16.5">
      <c r="A49076" s="649"/>
      <c r="B49076" s="649"/>
      <c r="E49076" s="649"/>
    </row>
    <row r="49077" spans="1:5" ht="16.5">
      <c r="A49077" s="649"/>
      <c r="B49077" s="649"/>
      <c r="E49077" s="649"/>
    </row>
    <row r="49078" spans="1:5" ht="16.5">
      <c r="A49078" s="649"/>
      <c r="B49078" s="649"/>
      <c r="E49078" s="649"/>
    </row>
    <row r="49079" spans="1:5" ht="16.5">
      <c r="A49079" s="649"/>
      <c r="B49079" s="649"/>
      <c r="E49079" s="649"/>
    </row>
    <row r="49080" spans="1:5" ht="16.5">
      <c r="A49080" s="649"/>
      <c r="B49080" s="649"/>
      <c r="E49080" s="649"/>
    </row>
    <row r="49081" spans="1:5" ht="16.5">
      <c r="A49081" s="649"/>
      <c r="B49081" s="649"/>
      <c r="E49081" s="649"/>
    </row>
    <row r="49082" spans="1:5" ht="16.5">
      <c r="A49082" s="649"/>
      <c r="B49082" s="649"/>
      <c r="E49082" s="649"/>
    </row>
    <row r="49083" spans="1:5" ht="16.5">
      <c r="A49083" s="649"/>
      <c r="B49083" s="649"/>
      <c r="E49083" s="649"/>
    </row>
    <row r="49084" spans="1:5" ht="16.5">
      <c r="A49084" s="649"/>
      <c r="B49084" s="649"/>
      <c r="E49084" s="649"/>
    </row>
    <row r="49085" spans="1:5" ht="16.5">
      <c r="A49085" s="649"/>
      <c r="B49085" s="649"/>
      <c r="E49085" s="649"/>
    </row>
    <row r="49086" spans="1:5" ht="16.5">
      <c r="A49086" s="649"/>
      <c r="B49086" s="649"/>
      <c r="E49086" s="649"/>
    </row>
    <row r="49087" spans="1:5" ht="16.5">
      <c r="A49087" s="649"/>
      <c r="B49087" s="649"/>
      <c r="E49087" s="649"/>
    </row>
    <row r="49088" spans="1:5" ht="16.5">
      <c r="A49088" s="649"/>
      <c r="B49088" s="649"/>
      <c r="E49088" s="649"/>
    </row>
    <row r="49089" spans="1:5" ht="16.5">
      <c r="A49089" s="649"/>
      <c r="B49089" s="649"/>
      <c r="E49089" s="649"/>
    </row>
    <row r="49090" spans="1:5" ht="16.5">
      <c r="A49090" s="649"/>
      <c r="B49090" s="649"/>
      <c r="E49090" s="649"/>
    </row>
    <row r="49091" spans="1:5" ht="16.5">
      <c r="A49091" s="649"/>
      <c r="B49091" s="649"/>
      <c r="E49091" s="649"/>
    </row>
    <row r="49092" spans="1:5" ht="16.5">
      <c r="A49092" s="649"/>
      <c r="B49092" s="649"/>
      <c r="E49092" s="649"/>
    </row>
    <row r="49093" spans="1:5" ht="16.5">
      <c r="A49093" s="649"/>
      <c r="B49093" s="649"/>
      <c r="E49093" s="649"/>
    </row>
    <row r="49094" spans="1:5" ht="16.5">
      <c r="A49094" s="649"/>
      <c r="B49094" s="649"/>
      <c r="E49094" s="649"/>
    </row>
    <row r="49095" spans="1:5" ht="16.5">
      <c r="A49095" s="649"/>
      <c r="B49095" s="649"/>
      <c r="E49095" s="649"/>
    </row>
    <row r="49096" spans="1:5" ht="16.5">
      <c r="A49096" s="649"/>
      <c r="B49096" s="649"/>
      <c r="E49096" s="649"/>
    </row>
    <row r="49097" spans="1:5" ht="16.5">
      <c r="A49097" s="649"/>
      <c r="B49097" s="649"/>
      <c r="E49097" s="649"/>
    </row>
    <row r="49098" spans="1:5" ht="16.5">
      <c r="A49098" s="649"/>
      <c r="B49098" s="649"/>
      <c r="E49098" s="649"/>
    </row>
    <row r="49099" spans="1:5" ht="16.5">
      <c r="A49099" s="649"/>
      <c r="B49099" s="649"/>
      <c r="E49099" s="649"/>
    </row>
    <row r="49100" spans="1:5" ht="16.5">
      <c r="A49100" s="649"/>
      <c r="B49100" s="649"/>
      <c r="E49100" s="649"/>
    </row>
    <row r="49101" spans="1:5" ht="16.5">
      <c r="A49101" s="649"/>
      <c r="B49101" s="649"/>
      <c r="E49101" s="649"/>
    </row>
    <row r="49102" spans="1:5" ht="16.5">
      <c r="A49102" s="649"/>
      <c r="B49102" s="649"/>
      <c r="E49102" s="649"/>
    </row>
    <row r="49103" spans="1:5" ht="16.5">
      <c r="A49103" s="649"/>
      <c r="B49103" s="649"/>
      <c r="E49103" s="649"/>
    </row>
    <row r="49104" spans="1:5" ht="16.5">
      <c r="A49104" s="649"/>
      <c r="B49104" s="649"/>
      <c r="E49104" s="649"/>
    </row>
    <row r="49105" spans="1:5" ht="16.5">
      <c r="A49105" s="649"/>
      <c r="B49105" s="649"/>
      <c r="E49105" s="649"/>
    </row>
    <row r="49106" spans="1:5" ht="16.5">
      <c r="A49106" s="649"/>
      <c r="B49106" s="649"/>
      <c r="E49106" s="649"/>
    </row>
    <row r="49107" spans="1:5" ht="16.5">
      <c r="A49107" s="649"/>
      <c r="B49107" s="649"/>
      <c r="E49107" s="649"/>
    </row>
    <row r="49108" spans="1:5" ht="16.5">
      <c r="A49108" s="649"/>
      <c r="B49108" s="649"/>
      <c r="E49108" s="649"/>
    </row>
    <row r="49109" spans="1:5" ht="16.5">
      <c r="A49109" s="649"/>
      <c r="B49109" s="649"/>
      <c r="E49109" s="649"/>
    </row>
    <row r="49110" spans="1:5" ht="16.5">
      <c r="A49110" s="649"/>
      <c r="B49110" s="649"/>
      <c r="E49110" s="649"/>
    </row>
    <row r="49111" spans="1:5" ht="16.5">
      <c r="A49111" s="649"/>
      <c r="B49111" s="649"/>
      <c r="E49111" s="649"/>
    </row>
    <row r="49112" spans="1:5" ht="16.5">
      <c r="A49112" s="649"/>
      <c r="B49112" s="649"/>
      <c r="E49112" s="649"/>
    </row>
    <row r="49113" spans="1:5" ht="16.5">
      <c r="A49113" s="649"/>
      <c r="B49113" s="649"/>
      <c r="E49113" s="649"/>
    </row>
    <row r="49114" spans="1:5" ht="16.5">
      <c r="A49114" s="649"/>
      <c r="B49114" s="649"/>
      <c r="E49114" s="649"/>
    </row>
    <row r="49115" spans="1:5" ht="16.5">
      <c r="A49115" s="649"/>
      <c r="B49115" s="649"/>
      <c r="E49115" s="649"/>
    </row>
    <row r="49116" spans="1:5" ht="16.5">
      <c r="A49116" s="649"/>
      <c r="B49116" s="649"/>
      <c r="E49116" s="649"/>
    </row>
    <row r="49117" spans="1:5" ht="16.5">
      <c r="A49117" s="649"/>
      <c r="B49117" s="649"/>
      <c r="E49117" s="649"/>
    </row>
    <row r="49118" spans="1:5" ht="16.5">
      <c r="A49118" s="649"/>
      <c r="B49118" s="649"/>
      <c r="E49118" s="649"/>
    </row>
    <row r="49119" spans="1:5" ht="16.5">
      <c r="A49119" s="649"/>
      <c r="B49119" s="649"/>
      <c r="E49119" s="649"/>
    </row>
    <row r="49120" spans="1:5" ht="16.5">
      <c r="A49120" s="649"/>
      <c r="B49120" s="649"/>
      <c r="E49120" s="649"/>
    </row>
    <row r="49121" spans="1:5" ht="16.5">
      <c r="A49121" s="649"/>
      <c r="B49121" s="649"/>
      <c r="E49121" s="649"/>
    </row>
    <row r="49122" spans="1:5" ht="16.5">
      <c r="A49122" s="649"/>
      <c r="B49122" s="649"/>
      <c r="E49122" s="649"/>
    </row>
    <row r="49123" spans="1:5" ht="16.5">
      <c r="A49123" s="649"/>
      <c r="B49123" s="649"/>
      <c r="E49123" s="649"/>
    </row>
    <row r="49124" spans="1:5" ht="16.5">
      <c r="A49124" s="649"/>
      <c r="B49124" s="649"/>
      <c r="E49124" s="649"/>
    </row>
    <row r="49125" spans="1:5" ht="16.5">
      <c r="A49125" s="649"/>
      <c r="B49125" s="649"/>
      <c r="E49125" s="649"/>
    </row>
    <row r="49126" spans="1:5" ht="16.5">
      <c r="A49126" s="649"/>
      <c r="B49126" s="649"/>
      <c r="E49126" s="649"/>
    </row>
    <row r="49127" spans="1:5" ht="16.5">
      <c r="A49127" s="649"/>
      <c r="B49127" s="649"/>
      <c r="E49127" s="649"/>
    </row>
    <row r="49128" spans="1:5" ht="16.5">
      <c r="A49128" s="649"/>
      <c r="B49128" s="649"/>
      <c r="E49128" s="649"/>
    </row>
    <row r="49129" spans="1:5" ht="16.5">
      <c r="A49129" s="649"/>
      <c r="B49129" s="649"/>
      <c r="E49129" s="649"/>
    </row>
    <row r="49130" spans="1:5" ht="16.5">
      <c r="A49130" s="649"/>
      <c r="B49130" s="649"/>
      <c r="E49130" s="649"/>
    </row>
    <row r="49131" spans="1:5" ht="16.5">
      <c r="A49131" s="649"/>
      <c r="B49131" s="649"/>
      <c r="E49131" s="649"/>
    </row>
    <row r="49132" spans="1:5" ht="16.5">
      <c r="A49132" s="649"/>
      <c r="B49132" s="649"/>
      <c r="E49132" s="649"/>
    </row>
    <row r="49133" spans="1:5" ht="16.5">
      <c r="A49133" s="649"/>
      <c r="B49133" s="649"/>
      <c r="E49133" s="649"/>
    </row>
    <row r="49134" spans="1:5" ht="16.5">
      <c r="A49134" s="649"/>
      <c r="B49134" s="649"/>
      <c r="E49134" s="649"/>
    </row>
    <row r="49135" spans="1:5" ht="16.5">
      <c r="A49135" s="649"/>
      <c r="B49135" s="649"/>
      <c r="E49135" s="649"/>
    </row>
    <row r="49136" spans="1:5" ht="16.5">
      <c r="A49136" s="649"/>
      <c r="B49136" s="649"/>
      <c r="E49136" s="649"/>
    </row>
    <row r="49137" spans="1:5" ht="16.5">
      <c r="A49137" s="649"/>
      <c r="B49137" s="649"/>
      <c r="E49137" s="649"/>
    </row>
    <row r="49138" spans="1:5" ht="16.5">
      <c r="A49138" s="649"/>
      <c r="B49138" s="649"/>
      <c r="E49138" s="649"/>
    </row>
    <row r="49139" spans="1:5" ht="16.5">
      <c r="A49139" s="649"/>
      <c r="B49139" s="649"/>
      <c r="E49139" s="649"/>
    </row>
    <row r="49140" spans="1:5" ht="16.5">
      <c r="A49140" s="649"/>
      <c r="B49140" s="649"/>
      <c r="E49140" s="649"/>
    </row>
    <row r="49141" spans="1:5" ht="16.5">
      <c r="A49141" s="649"/>
      <c r="B49141" s="649"/>
      <c r="E49141" s="649"/>
    </row>
    <row r="49142" spans="1:5" ht="16.5">
      <c r="A49142" s="649"/>
      <c r="B49142" s="649"/>
      <c r="E49142" s="649"/>
    </row>
    <row r="49143" spans="1:5" ht="16.5">
      <c r="A49143" s="649"/>
      <c r="B49143" s="649"/>
      <c r="E49143" s="649"/>
    </row>
    <row r="49144" spans="1:5" ht="16.5">
      <c r="A49144" s="649"/>
      <c r="B49144" s="649"/>
      <c r="E49144" s="649"/>
    </row>
    <row r="49145" spans="1:5" ht="16.5">
      <c r="A49145" s="649"/>
      <c r="B49145" s="649"/>
      <c r="E49145" s="649"/>
    </row>
    <row r="49146" spans="1:5" ht="16.5">
      <c r="A49146" s="649"/>
      <c r="B49146" s="649"/>
      <c r="E49146" s="649"/>
    </row>
    <row r="49147" spans="1:5" ht="16.5">
      <c r="A49147" s="649"/>
      <c r="B49147" s="649"/>
      <c r="E49147" s="649"/>
    </row>
    <row r="49148" spans="1:5" ht="16.5">
      <c r="A49148" s="649"/>
      <c r="B49148" s="649"/>
      <c r="E49148" s="649"/>
    </row>
    <row r="49149" spans="1:5" ht="16.5">
      <c r="A49149" s="649"/>
      <c r="B49149" s="649"/>
      <c r="E49149" s="649"/>
    </row>
    <row r="49150" spans="1:5" ht="16.5">
      <c r="A49150" s="649"/>
      <c r="B49150" s="649"/>
      <c r="E49150" s="649"/>
    </row>
    <row r="49151" spans="1:5" ht="16.5">
      <c r="A49151" s="649"/>
      <c r="B49151" s="649"/>
      <c r="E49151" s="649"/>
    </row>
    <row r="49152" spans="1:5" ht="16.5">
      <c r="A49152" s="649"/>
      <c r="B49152" s="649"/>
      <c r="E49152" s="649"/>
    </row>
    <row r="49153" spans="1:5" ht="16.5">
      <c r="A49153" s="649"/>
      <c r="B49153" s="649"/>
      <c r="E49153" s="649"/>
    </row>
    <row r="49154" spans="1:5" ht="16.5">
      <c r="A49154" s="649"/>
      <c r="B49154" s="649"/>
      <c r="E49154" s="649"/>
    </row>
    <row r="49155" spans="1:5" ht="16.5">
      <c r="A49155" s="649"/>
      <c r="B49155" s="649"/>
      <c r="E49155" s="649"/>
    </row>
    <row r="49156" spans="1:5" ht="16.5">
      <c r="A49156" s="649"/>
      <c r="B49156" s="649"/>
      <c r="E49156" s="649"/>
    </row>
    <row r="49157" spans="1:5" ht="16.5">
      <c r="A49157" s="649"/>
      <c r="B49157" s="649"/>
      <c r="E49157" s="649"/>
    </row>
    <row r="49158" spans="1:5" ht="16.5">
      <c r="A49158" s="649"/>
      <c r="B49158" s="649"/>
      <c r="E49158" s="649"/>
    </row>
    <row r="49159" spans="1:5" ht="16.5">
      <c r="A49159" s="649"/>
      <c r="B49159" s="649"/>
      <c r="E49159" s="649"/>
    </row>
    <row r="49160" spans="1:5" ht="16.5">
      <c r="A49160" s="649"/>
      <c r="B49160" s="649"/>
      <c r="E49160" s="649"/>
    </row>
    <row r="49161" spans="1:5" ht="16.5">
      <c r="A49161" s="649"/>
      <c r="B49161" s="649"/>
      <c r="E49161" s="649"/>
    </row>
    <row r="49162" spans="1:5" ht="16.5">
      <c r="A49162" s="649"/>
      <c r="B49162" s="649"/>
      <c r="E49162" s="649"/>
    </row>
    <row r="49163" spans="1:5" ht="16.5">
      <c r="A49163" s="649"/>
      <c r="B49163" s="649"/>
      <c r="E49163" s="649"/>
    </row>
    <row r="49164" spans="1:5" ht="16.5">
      <c r="A49164" s="649"/>
      <c r="B49164" s="649"/>
      <c r="E49164" s="649"/>
    </row>
    <row r="49165" spans="1:5" ht="16.5">
      <c r="A49165" s="649"/>
      <c r="B49165" s="649"/>
      <c r="E49165" s="649"/>
    </row>
    <row r="49166" spans="1:5" ht="16.5">
      <c r="A49166" s="649"/>
      <c r="B49166" s="649"/>
      <c r="E49166" s="649"/>
    </row>
    <row r="49167" spans="1:5" ht="16.5">
      <c r="A49167" s="649"/>
      <c r="B49167" s="649"/>
      <c r="E49167" s="649"/>
    </row>
    <row r="49168" spans="1:5" ht="16.5">
      <c r="A49168" s="649"/>
      <c r="B49168" s="649"/>
      <c r="E49168" s="649"/>
    </row>
    <row r="49169" spans="1:5" ht="16.5">
      <c r="A49169" s="649"/>
      <c r="B49169" s="649"/>
      <c r="E49169" s="649"/>
    </row>
    <row r="49170" spans="1:5" ht="16.5">
      <c r="A49170" s="649"/>
      <c r="B49170" s="649"/>
      <c r="E49170" s="649"/>
    </row>
    <row r="49171" spans="1:5" ht="16.5">
      <c r="A49171" s="649"/>
      <c r="B49171" s="649"/>
      <c r="E49171" s="649"/>
    </row>
    <row r="49172" spans="1:5" ht="16.5">
      <c r="A49172" s="649"/>
      <c r="B49172" s="649"/>
      <c r="E49172" s="649"/>
    </row>
    <row r="49173" spans="1:5" ht="16.5">
      <c r="A49173" s="649"/>
      <c r="B49173" s="649"/>
      <c r="E49173" s="649"/>
    </row>
    <row r="49174" spans="1:5" ht="16.5">
      <c r="A49174" s="649"/>
      <c r="B49174" s="649"/>
      <c r="E49174" s="649"/>
    </row>
    <row r="49175" spans="1:5" ht="16.5">
      <c r="A49175" s="649"/>
      <c r="B49175" s="649"/>
      <c r="E49175" s="649"/>
    </row>
    <row r="49176" spans="1:5" ht="16.5">
      <c r="A49176" s="649"/>
      <c r="B49176" s="649"/>
      <c r="E49176" s="649"/>
    </row>
    <row r="49177" spans="1:5" ht="16.5">
      <c r="A49177" s="649"/>
      <c r="B49177" s="649"/>
      <c r="E49177" s="649"/>
    </row>
    <row r="49178" spans="1:5" ht="16.5">
      <c r="A49178" s="649"/>
      <c r="B49178" s="649"/>
      <c r="E49178" s="649"/>
    </row>
    <row r="49179" spans="1:5" ht="16.5">
      <c r="A49179" s="649"/>
      <c r="B49179" s="649"/>
      <c r="E49179" s="649"/>
    </row>
    <row r="49180" spans="1:5" ht="16.5">
      <c r="A49180" s="649"/>
      <c r="B49180" s="649"/>
      <c r="E49180" s="649"/>
    </row>
    <row r="49181" spans="1:5" ht="16.5">
      <c r="A49181" s="649"/>
      <c r="B49181" s="649"/>
      <c r="E49181" s="649"/>
    </row>
    <row r="49182" spans="1:5" ht="16.5">
      <c r="A49182" s="649"/>
      <c r="B49182" s="649"/>
      <c r="E49182" s="649"/>
    </row>
    <row r="49183" spans="1:5" ht="16.5">
      <c r="A49183" s="649"/>
      <c r="B49183" s="649"/>
      <c r="E49183" s="649"/>
    </row>
    <row r="49184" spans="1:5" ht="16.5">
      <c r="A49184" s="649"/>
      <c r="B49184" s="649"/>
      <c r="E49184" s="649"/>
    </row>
    <row r="49185" spans="1:5" ht="16.5">
      <c r="A49185" s="649"/>
      <c r="B49185" s="649"/>
      <c r="E49185" s="649"/>
    </row>
    <row r="49186" spans="1:5" ht="16.5">
      <c r="A49186" s="649"/>
      <c r="B49186" s="649"/>
      <c r="E49186" s="649"/>
    </row>
    <row r="49187" spans="1:5" ht="16.5">
      <c r="A49187" s="649"/>
      <c r="B49187" s="649"/>
      <c r="E49187" s="649"/>
    </row>
    <row r="49188" spans="1:5" ht="16.5">
      <c r="A49188" s="649"/>
      <c r="B49188" s="649"/>
      <c r="E49188" s="649"/>
    </row>
    <row r="49189" spans="1:5" ht="16.5">
      <c r="A49189" s="649"/>
      <c r="B49189" s="649"/>
      <c r="E49189" s="649"/>
    </row>
    <row r="49190" spans="1:5" ht="16.5">
      <c r="A49190" s="649"/>
      <c r="B49190" s="649"/>
      <c r="E49190" s="649"/>
    </row>
    <row r="49191" spans="1:5" ht="16.5">
      <c r="A49191" s="649"/>
      <c r="B49191" s="649"/>
      <c r="E49191" s="649"/>
    </row>
    <row r="49192" spans="1:5" ht="16.5">
      <c r="A49192" s="649"/>
      <c r="B49192" s="649"/>
      <c r="E49192" s="649"/>
    </row>
    <row r="49193" spans="1:5" ht="16.5">
      <c r="A49193" s="649"/>
      <c r="B49193" s="649"/>
      <c r="E49193" s="649"/>
    </row>
    <row r="49194" spans="1:5" ht="16.5">
      <c r="A49194" s="649"/>
      <c r="B49194" s="649"/>
      <c r="E49194" s="649"/>
    </row>
    <row r="49195" spans="1:5" ht="16.5">
      <c r="A49195" s="649"/>
      <c r="B49195" s="649"/>
      <c r="E49195" s="649"/>
    </row>
    <row r="49196" spans="1:5" ht="16.5">
      <c r="A49196" s="649"/>
      <c r="B49196" s="649"/>
      <c r="E49196" s="649"/>
    </row>
    <row r="49197" spans="1:5" ht="16.5">
      <c r="A49197" s="649"/>
      <c r="B49197" s="649"/>
      <c r="E49197" s="649"/>
    </row>
    <row r="49198" spans="1:5" ht="16.5">
      <c r="A49198" s="649"/>
      <c r="B49198" s="649"/>
      <c r="E49198" s="649"/>
    </row>
    <row r="49199" spans="1:5" ht="16.5">
      <c r="A49199" s="649"/>
      <c r="B49199" s="649"/>
      <c r="E49199" s="649"/>
    </row>
    <row r="49200" spans="1:5" ht="16.5">
      <c r="A49200" s="649"/>
      <c r="B49200" s="649"/>
      <c r="E49200" s="649"/>
    </row>
    <row r="49201" spans="1:5" ht="16.5">
      <c r="A49201" s="649"/>
      <c r="B49201" s="649"/>
      <c r="E49201" s="649"/>
    </row>
    <row r="49202" spans="1:5" ht="16.5">
      <c r="A49202" s="649"/>
      <c r="B49202" s="649"/>
      <c r="E49202" s="649"/>
    </row>
    <row r="49203" spans="1:5" ht="16.5">
      <c r="A49203" s="649"/>
      <c r="B49203" s="649"/>
      <c r="E49203" s="649"/>
    </row>
    <row r="49204" spans="1:5" ht="16.5">
      <c r="A49204" s="649"/>
      <c r="B49204" s="649"/>
      <c r="E49204" s="649"/>
    </row>
    <row r="49205" spans="1:5" ht="16.5">
      <c r="A49205" s="649"/>
      <c r="B49205" s="649"/>
      <c r="E49205" s="649"/>
    </row>
    <row r="49206" spans="1:5" ht="16.5">
      <c r="A49206" s="649"/>
      <c r="B49206" s="649"/>
      <c r="E49206" s="649"/>
    </row>
    <row r="49207" spans="1:5" ht="16.5">
      <c r="A49207" s="649"/>
      <c r="B49207" s="649"/>
      <c r="E49207" s="649"/>
    </row>
    <row r="49208" spans="1:5" ht="16.5">
      <c r="A49208" s="649"/>
      <c r="B49208" s="649"/>
      <c r="E49208" s="649"/>
    </row>
    <row r="49209" spans="1:5" ht="16.5">
      <c r="A49209" s="649"/>
      <c r="B49209" s="649"/>
      <c r="E49209" s="649"/>
    </row>
    <row r="49210" spans="1:5" ht="16.5">
      <c r="A49210" s="649"/>
      <c r="B49210" s="649"/>
      <c r="E49210" s="649"/>
    </row>
    <row r="49211" spans="1:5" ht="16.5">
      <c r="A49211" s="649"/>
      <c r="B49211" s="649"/>
      <c r="E49211" s="649"/>
    </row>
    <row r="49212" spans="1:5" ht="16.5">
      <c r="A49212" s="649"/>
      <c r="B49212" s="649"/>
      <c r="E49212" s="649"/>
    </row>
    <row r="49213" spans="1:5" ht="16.5">
      <c r="A49213" s="649"/>
      <c r="B49213" s="649"/>
      <c r="E49213" s="649"/>
    </row>
    <row r="49214" spans="1:5" ht="16.5">
      <c r="A49214" s="649"/>
      <c r="B49214" s="649"/>
      <c r="E49214" s="649"/>
    </row>
    <row r="49215" spans="1:5" ht="16.5">
      <c r="A49215" s="649"/>
      <c r="B49215" s="649"/>
      <c r="E49215" s="649"/>
    </row>
    <row r="49216" spans="1:5" ht="16.5">
      <c r="A49216" s="649"/>
      <c r="B49216" s="649"/>
      <c r="E49216" s="649"/>
    </row>
    <row r="49217" spans="1:5" ht="16.5">
      <c r="A49217" s="649"/>
      <c r="B49217" s="649"/>
      <c r="E49217" s="649"/>
    </row>
    <row r="49218" spans="1:5" ht="16.5">
      <c r="A49218" s="649"/>
      <c r="B49218" s="649"/>
      <c r="E49218" s="649"/>
    </row>
    <row r="49219" spans="1:5" ht="16.5">
      <c r="A49219" s="649"/>
      <c r="B49219" s="649"/>
      <c r="E49219" s="649"/>
    </row>
    <row r="49220" spans="1:5" ht="16.5">
      <c r="A49220" s="649"/>
      <c r="B49220" s="649"/>
      <c r="E49220" s="649"/>
    </row>
    <row r="49221" spans="1:5" ht="16.5">
      <c r="A49221" s="649"/>
      <c r="B49221" s="649"/>
      <c r="E49221" s="649"/>
    </row>
    <row r="49222" spans="1:5" ht="16.5">
      <c r="A49222" s="649"/>
      <c r="B49222" s="649"/>
      <c r="E49222" s="649"/>
    </row>
    <row r="49223" spans="1:5" ht="16.5">
      <c r="A49223" s="649"/>
      <c r="B49223" s="649"/>
      <c r="E49223" s="649"/>
    </row>
    <row r="49224" spans="1:5" ht="16.5">
      <c r="A49224" s="649"/>
      <c r="B49224" s="649"/>
      <c r="E49224" s="649"/>
    </row>
    <row r="49225" spans="1:5" ht="16.5">
      <c r="A49225" s="649"/>
      <c r="B49225" s="649"/>
      <c r="E49225" s="649"/>
    </row>
    <row r="49226" spans="1:5" ht="16.5">
      <c r="A49226" s="649"/>
      <c r="B49226" s="649"/>
      <c r="E49226" s="649"/>
    </row>
    <row r="49227" spans="1:5" ht="16.5">
      <c r="A49227" s="649"/>
      <c r="B49227" s="649"/>
      <c r="E49227" s="649"/>
    </row>
    <row r="49228" spans="1:5" ht="16.5">
      <c r="A49228" s="649"/>
      <c r="B49228" s="649"/>
      <c r="E49228" s="649"/>
    </row>
    <row r="49229" spans="1:5" ht="16.5">
      <c r="A49229" s="649"/>
      <c r="B49229" s="649"/>
      <c r="E49229" s="649"/>
    </row>
    <row r="49230" spans="1:5" ht="16.5">
      <c r="A49230" s="649"/>
      <c r="B49230" s="649"/>
      <c r="E49230" s="649"/>
    </row>
    <row r="49231" spans="1:5" ht="16.5">
      <c r="A49231" s="649"/>
      <c r="B49231" s="649"/>
      <c r="E49231" s="649"/>
    </row>
    <row r="49232" spans="1:5" ht="16.5">
      <c r="A49232" s="649"/>
      <c r="B49232" s="649"/>
      <c r="E49232" s="649"/>
    </row>
    <row r="49233" spans="1:5" ht="16.5">
      <c r="A49233" s="649"/>
      <c r="B49233" s="649"/>
      <c r="E49233" s="649"/>
    </row>
    <row r="49234" spans="1:5" ht="16.5">
      <c r="A49234" s="649"/>
      <c r="B49234" s="649"/>
      <c r="E49234" s="649"/>
    </row>
    <row r="49235" spans="1:5" ht="16.5">
      <c r="A49235" s="649"/>
      <c r="B49235" s="649"/>
      <c r="E49235" s="649"/>
    </row>
    <row r="49236" spans="1:5" ht="16.5">
      <c r="A49236" s="649"/>
      <c r="B49236" s="649"/>
      <c r="E49236" s="649"/>
    </row>
    <row r="49237" spans="1:5" ht="16.5">
      <c r="A49237" s="649"/>
      <c r="B49237" s="649"/>
      <c r="E49237" s="649"/>
    </row>
    <row r="49238" spans="1:5" ht="16.5">
      <c r="A49238" s="649"/>
      <c r="B49238" s="649"/>
      <c r="E49238" s="649"/>
    </row>
    <row r="49239" spans="1:5" ht="16.5">
      <c r="A49239" s="649"/>
      <c r="B49239" s="649"/>
      <c r="E49239" s="649"/>
    </row>
    <row r="49240" spans="1:5" ht="16.5">
      <c r="A49240" s="649"/>
      <c r="B49240" s="649"/>
      <c r="E49240" s="649"/>
    </row>
    <row r="49241" spans="1:5" ht="16.5">
      <c r="A49241" s="649"/>
      <c r="B49241" s="649"/>
      <c r="E49241" s="649"/>
    </row>
    <row r="49242" spans="1:5" ht="16.5">
      <c r="A49242" s="649"/>
      <c r="B49242" s="649"/>
      <c r="E49242" s="649"/>
    </row>
    <row r="49243" spans="1:5" ht="16.5">
      <c r="A49243" s="649"/>
      <c r="B49243" s="649"/>
      <c r="E49243" s="649"/>
    </row>
    <row r="49244" spans="1:5" ht="16.5">
      <c r="A49244" s="649"/>
      <c r="B49244" s="649"/>
      <c r="E49244" s="649"/>
    </row>
    <row r="49245" spans="1:5" ht="16.5">
      <c r="A49245" s="649"/>
      <c r="B49245" s="649"/>
      <c r="E49245" s="649"/>
    </row>
    <row r="49246" spans="1:5" ht="16.5">
      <c r="A49246" s="649"/>
      <c r="B49246" s="649"/>
      <c r="E49246" s="649"/>
    </row>
    <row r="49247" spans="1:5" ht="16.5">
      <c r="A49247" s="649"/>
      <c r="B49247" s="649"/>
      <c r="E49247" s="649"/>
    </row>
    <row r="49248" spans="1:5" ht="16.5">
      <c r="A49248" s="649"/>
      <c r="B49248" s="649"/>
      <c r="E49248" s="649"/>
    </row>
    <row r="49249" spans="1:5" ht="16.5">
      <c r="A49249" s="649"/>
      <c r="B49249" s="649"/>
      <c r="E49249" s="649"/>
    </row>
    <row r="49250" spans="1:5" ht="16.5">
      <c r="A49250" s="649"/>
      <c r="B49250" s="649"/>
      <c r="E49250" s="649"/>
    </row>
    <row r="49251" spans="1:5" ht="16.5">
      <c r="A49251" s="649"/>
      <c r="B49251" s="649"/>
      <c r="E49251" s="649"/>
    </row>
    <row r="49252" spans="1:5" ht="16.5">
      <c r="A49252" s="649"/>
      <c r="B49252" s="649"/>
      <c r="E49252" s="649"/>
    </row>
    <row r="49253" spans="1:5" ht="16.5">
      <c r="A49253" s="649"/>
      <c r="B49253" s="649"/>
      <c r="E49253" s="649"/>
    </row>
    <row r="49254" spans="1:5" ht="16.5">
      <c r="A49254" s="649"/>
      <c r="B49254" s="649"/>
      <c r="E49254" s="649"/>
    </row>
    <row r="49255" spans="1:5" ht="16.5">
      <c r="A49255" s="649"/>
      <c r="B49255" s="649"/>
      <c r="E49255" s="649"/>
    </row>
    <row r="49256" spans="1:5" ht="16.5">
      <c r="A49256" s="649"/>
      <c r="B49256" s="649"/>
      <c r="E49256" s="649"/>
    </row>
    <row r="49257" spans="1:5" ht="16.5">
      <c r="A49257" s="649"/>
      <c r="B49257" s="649"/>
      <c r="E49257" s="649"/>
    </row>
    <row r="49258" spans="1:5" ht="16.5">
      <c r="A49258" s="649"/>
      <c r="B49258" s="649"/>
      <c r="E49258" s="649"/>
    </row>
    <row r="49259" spans="1:5" ht="16.5">
      <c r="A49259" s="649"/>
      <c r="B49259" s="649"/>
      <c r="E49259" s="649"/>
    </row>
    <row r="49260" spans="1:5" ht="16.5">
      <c r="A49260" s="649"/>
      <c r="B49260" s="649"/>
      <c r="E49260" s="649"/>
    </row>
    <row r="49261" spans="1:5" ht="16.5">
      <c r="A49261" s="649"/>
      <c r="B49261" s="649"/>
      <c r="E49261" s="649"/>
    </row>
    <row r="49262" spans="1:5" ht="16.5">
      <c r="A49262" s="649"/>
      <c r="B49262" s="649"/>
      <c r="E49262" s="649"/>
    </row>
    <row r="49263" spans="1:5" ht="16.5">
      <c r="A49263" s="649"/>
      <c r="B49263" s="649"/>
      <c r="E49263" s="649"/>
    </row>
    <row r="49264" spans="1:5" ht="16.5">
      <c r="A49264" s="649"/>
      <c r="B49264" s="649"/>
      <c r="E49264" s="649"/>
    </row>
    <row r="49265" spans="1:5" ht="16.5">
      <c r="A49265" s="649"/>
      <c r="B49265" s="649"/>
      <c r="E49265" s="649"/>
    </row>
    <row r="49266" spans="1:5" ht="16.5">
      <c r="A49266" s="649"/>
      <c r="B49266" s="649"/>
      <c r="E49266" s="649"/>
    </row>
    <row r="49267" spans="1:5" ht="16.5">
      <c r="A49267" s="649"/>
      <c r="B49267" s="649"/>
      <c r="E49267" s="649"/>
    </row>
    <row r="49268" spans="1:5" ht="16.5">
      <c r="A49268" s="649"/>
      <c r="B49268" s="649"/>
      <c r="E49268" s="649"/>
    </row>
    <row r="49269" spans="1:5" ht="16.5">
      <c r="A49269" s="649"/>
      <c r="B49269" s="649"/>
      <c r="E49269" s="649"/>
    </row>
    <row r="49270" spans="1:5" ht="16.5">
      <c r="A49270" s="649"/>
      <c r="B49270" s="649"/>
      <c r="E49270" s="649"/>
    </row>
    <row r="49271" spans="1:5" ht="16.5">
      <c r="A49271" s="649"/>
      <c r="B49271" s="649"/>
      <c r="E49271" s="649"/>
    </row>
    <row r="49272" spans="1:5" ht="16.5">
      <c r="A49272" s="649"/>
      <c r="B49272" s="649"/>
      <c r="E49272" s="649"/>
    </row>
    <row r="49273" spans="1:5" ht="16.5">
      <c r="A49273" s="649"/>
      <c r="B49273" s="649"/>
      <c r="E49273" s="649"/>
    </row>
    <row r="49274" spans="1:5" ht="16.5">
      <c r="A49274" s="649"/>
      <c r="B49274" s="649"/>
      <c r="E49274" s="649"/>
    </row>
    <row r="49275" spans="1:5" ht="16.5">
      <c r="A49275" s="649"/>
      <c r="B49275" s="649"/>
      <c r="E49275" s="649"/>
    </row>
    <row r="49276" spans="1:5" ht="16.5">
      <c r="A49276" s="649"/>
      <c r="B49276" s="649"/>
      <c r="E49276" s="649"/>
    </row>
    <row r="49277" spans="1:5" ht="16.5">
      <c r="A49277" s="649"/>
      <c r="B49277" s="649"/>
      <c r="E49277" s="649"/>
    </row>
    <row r="49278" spans="1:5" ht="16.5">
      <c r="A49278" s="649"/>
      <c r="B49278" s="649"/>
      <c r="E49278" s="649"/>
    </row>
    <row r="49279" spans="1:5" ht="16.5">
      <c r="A49279" s="649"/>
      <c r="B49279" s="649"/>
      <c r="E49279" s="649"/>
    </row>
    <row r="49280" spans="1:5" ht="16.5">
      <c r="A49280" s="649"/>
      <c r="B49280" s="649"/>
      <c r="E49280" s="649"/>
    </row>
    <row r="49281" spans="1:5" ht="16.5">
      <c r="A49281" s="649"/>
      <c r="B49281" s="649"/>
      <c r="E49281" s="649"/>
    </row>
    <row r="49282" spans="1:5" ht="16.5">
      <c r="A49282" s="649"/>
      <c r="B49282" s="649"/>
      <c r="E49282" s="649"/>
    </row>
    <row r="49283" spans="1:5" ht="16.5">
      <c r="A49283" s="649"/>
      <c r="B49283" s="649"/>
      <c r="E49283" s="649"/>
    </row>
    <row r="49284" spans="1:5" ht="16.5">
      <c r="A49284" s="649"/>
      <c r="B49284" s="649"/>
      <c r="E49284" s="649"/>
    </row>
    <row r="49285" spans="1:5" ht="16.5">
      <c r="A49285" s="649"/>
      <c r="B49285" s="649"/>
      <c r="E49285" s="649"/>
    </row>
    <row r="49286" spans="1:5" ht="16.5">
      <c r="A49286" s="649"/>
      <c r="B49286" s="649"/>
      <c r="E49286" s="649"/>
    </row>
    <row r="49287" spans="1:5" ht="16.5">
      <c r="A49287" s="649"/>
      <c r="B49287" s="649"/>
      <c r="E49287" s="649"/>
    </row>
    <row r="49288" spans="1:5" ht="16.5">
      <c r="A49288" s="649"/>
      <c r="B49288" s="649"/>
      <c r="E49288" s="649"/>
    </row>
    <row r="49289" spans="1:5" ht="16.5">
      <c r="A49289" s="649"/>
      <c r="B49289" s="649"/>
      <c r="E49289" s="649"/>
    </row>
    <row r="49290" spans="1:5" ht="16.5">
      <c r="A49290" s="649"/>
      <c r="B49290" s="649"/>
      <c r="E49290" s="649"/>
    </row>
    <row r="49291" spans="1:5" ht="16.5">
      <c r="A49291" s="649"/>
      <c r="B49291" s="649"/>
      <c r="E49291" s="649"/>
    </row>
    <row r="49292" spans="1:5" ht="16.5">
      <c r="A49292" s="649"/>
      <c r="B49292" s="649"/>
      <c r="E49292" s="649"/>
    </row>
    <row r="49293" spans="1:5" ht="16.5">
      <c r="A49293" s="649"/>
      <c r="B49293" s="649"/>
      <c r="E49293" s="649"/>
    </row>
    <row r="49294" spans="1:5" ht="16.5">
      <c r="A49294" s="649"/>
      <c r="B49294" s="649"/>
      <c r="E49294" s="649"/>
    </row>
    <row r="49295" spans="1:5" ht="16.5">
      <c r="A49295" s="649"/>
      <c r="B49295" s="649"/>
      <c r="E49295" s="649"/>
    </row>
    <row r="49296" spans="1:5" ht="16.5">
      <c r="A49296" s="649"/>
      <c r="B49296" s="649"/>
      <c r="E49296" s="649"/>
    </row>
    <row r="49297" spans="1:5" ht="16.5">
      <c r="A49297" s="649"/>
      <c r="B49297" s="649"/>
      <c r="E49297" s="649"/>
    </row>
    <row r="49298" spans="1:5" ht="16.5">
      <c r="A49298" s="649"/>
      <c r="B49298" s="649"/>
      <c r="E49298" s="649"/>
    </row>
    <row r="49299" spans="1:5" ht="16.5">
      <c r="A49299" s="649"/>
      <c r="B49299" s="649"/>
      <c r="E49299" s="649"/>
    </row>
    <row r="49300" spans="1:5" ht="16.5">
      <c r="A49300" s="649"/>
      <c r="B49300" s="649"/>
      <c r="E49300" s="649"/>
    </row>
    <row r="49301" spans="1:5" ht="16.5">
      <c r="A49301" s="649"/>
      <c r="B49301" s="649"/>
      <c r="E49301" s="649"/>
    </row>
    <row r="49302" spans="1:5" ht="16.5">
      <c r="A49302" s="649"/>
      <c r="B49302" s="649"/>
      <c r="E49302" s="649"/>
    </row>
    <row r="49303" spans="1:5" ht="16.5">
      <c r="A49303" s="649"/>
      <c r="B49303" s="649"/>
      <c r="E49303" s="649"/>
    </row>
    <row r="49304" spans="1:5" ht="16.5">
      <c r="A49304" s="649"/>
      <c r="B49304" s="649"/>
      <c r="E49304" s="649"/>
    </row>
    <row r="49305" spans="1:5" ht="16.5">
      <c r="A49305" s="649"/>
      <c r="B49305" s="649"/>
      <c r="E49305" s="649"/>
    </row>
    <row r="49306" spans="1:5" ht="16.5">
      <c r="A49306" s="649"/>
      <c r="B49306" s="649"/>
      <c r="E49306" s="649"/>
    </row>
    <row r="49307" spans="1:5" ht="16.5">
      <c r="A49307" s="649"/>
      <c r="B49307" s="649"/>
      <c r="E49307" s="649"/>
    </row>
    <row r="49308" spans="1:5" ht="16.5">
      <c r="A49308" s="649"/>
      <c r="B49308" s="649"/>
      <c r="E49308" s="649"/>
    </row>
    <row r="49309" spans="1:5" ht="16.5">
      <c r="A49309" s="649"/>
      <c r="B49309" s="649"/>
      <c r="E49309" s="649"/>
    </row>
    <row r="49310" spans="1:5" ht="16.5">
      <c r="A49310" s="649"/>
      <c r="B49310" s="649"/>
      <c r="E49310" s="649"/>
    </row>
    <row r="49311" spans="1:5" ht="16.5">
      <c r="A49311" s="649"/>
      <c r="B49311" s="649"/>
      <c r="E49311" s="649"/>
    </row>
    <row r="49312" spans="1:5" ht="16.5">
      <c r="A49312" s="649"/>
      <c r="B49312" s="649"/>
      <c r="E49312" s="649"/>
    </row>
    <row r="49313" spans="1:5" ht="16.5">
      <c r="A49313" s="649"/>
      <c r="B49313" s="649"/>
      <c r="E49313" s="649"/>
    </row>
    <row r="49314" spans="1:5" ht="16.5">
      <c r="A49314" s="649"/>
      <c r="B49314" s="649"/>
      <c r="E49314" s="649"/>
    </row>
    <row r="49315" spans="1:5" ht="16.5">
      <c r="A49315" s="649"/>
      <c r="B49315" s="649"/>
      <c r="E49315" s="649"/>
    </row>
    <row r="49316" spans="1:5" ht="16.5">
      <c r="A49316" s="649"/>
      <c r="B49316" s="649"/>
      <c r="E49316" s="649"/>
    </row>
    <row r="49317" spans="1:5" ht="16.5">
      <c r="A49317" s="649"/>
      <c r="B49317" s="649"/>
      <c r="E49317" s="649"/>
    </row>
    <row r="49318" spans="1:5" ht="16.5">
      <c r="A49318" s="649"/>
      <c r="B49318" s="649"/>
      <c r="E49318" s="649"/>
    </row>
    <row r="49319" spans="1:5" ht="16.5">
      <c r="A49319" s="649"/>
      <c r="B49319" s="649"/>
      <c r="E49319" s="649"/>
    </row>
    <row r="49320" spans="1:5" ht="16.5">
      <c r="A49320" s="649"/>
      <c r="B49320" s="649"/>
      <c r="E49320" s="649"/>
    </row>
    <row r="49321" spans="1:5" ht="16.5">
      <c r="A49321" s="649"/>
      <c r="B49321" s="649"/>
      <c r="E49321" s="649"/>
    </row>
    <row r="49322" spans="1:5" ht="16.5">
      <c r="A49322" s="649"/>
      <c r="B49322" s="649"/>
      <c r="E49322" s="649"/>
    </row>
    <row r="49323" spans="1:5" ht="16.5">
      <c r="A49323" s="649"/>
      <c r="B49323" s="649"/>
      <c r="E49323" s="649"/>
    </row>
    <row r="49324" spans="1:5" ht="16.5">
      <c r="A49324" s="649"/>
      <c r="B49324" s="649"/>
      <c r="E49324" s="649"/>
    </row>
    <row r="49325" spans="1:5" ht="16.5">
      <c r="A49325" s="649"/>
      <c r="B49325" s="649"/>
      <c r="E49325" s="649"/>
    </row>
    <row r="49326" spans="1:5" ht="16.5">
      <c r="A49326" s="649"/>
      <c r="B49326" s="649"/>
      <c r="E49326" s="649"/>
    </row>
    <row r="49327" spans="1:5" ht="16.5">
      <c r="A49327" s="649"/>
      <c r="B49327" s="649"/>
      <c r="E49327" s="649"/>
    </row>
    <row r="49328" spans="1:5" ht="16.5">
      <c r="A49328" s="649"/>
      <c r="B49328" s="649"/>
      <c r="E49328" s="649"/>
    </row>
    <row r="49329" spans="1:5" ht="16.5">
      <c r="A49329" s="649"/>
      <c r="B49329" s="649"/>
      <c r="E49329" s="649"/>
    </row>
    <row r="49330" spans="1:5" ht="16.5">
      <c r="A49330" s="649"/>
      <c r="B49330" s="649"/>
      <c r="E49330" s="649"/>
    </row>
    <row r="49331" spans="1:5" ht="16.5">
      <c r="A49331" s="649"/>
      <c r="B49331" s="649"/>
      <c r="E49331" s="649"/>
    </row>
    <row r="49332" spans="1:5" ht="16.5">
      <c r="A49332" s="649"/>
      <c r="B49332" s="649"/>
      <c r="E49332" s="649"/>
    </row>
    <row r="49333" spans="1:5" ht="16.5">
      <c r="A49333" s="649"/>
      <c r="B49333" s="649"/>
      <c r="E49333" s="649"/>
    </row>
    <row r="49334" spans="1:5" ht="16.5">
      <c r="A49334" s="649"/>
      <c r="B49334" s="649"/>
      <c r="E49334" s="649"/>
    </row>
    <row r="49335" spans="1:5" ht="16.5">
      <c r="A49335" s="649"/>
      <c r="B49335" s="649"/>
      <c r="E49335" s="649"/>
    </row>
    <row r="49336" spans="1:5" ht="16.5">
      <c r="A49336" s="649"/>
      <c r="B49336" s="649"/>
      <c r="E49336" s="649"/>
    </row>
    <row r="49337" spans="1:5" ht="16.5">
      <c r="A49337" s="649"/>
      <c r="B49337" s="649"/>
      <c r="E49337" s="649"/>
    </row>
    <row r="49338" spans="1:5" ht="16.5">
      <c r="A49338" s="649"/>
      <c r="B49338" s="649"/>
      <c r="E49338" s="649"/>
    </row>
    <row r="49339" spans="1:5" ht="16.5">
      <c r="A49339" s="649"/>
      <c r="B49339" s="649"/>
      <c r="E49339" s="649"/>
    </row>
    <row r="49340" spans="1:5" ht="16.5">
      <c r="A49340" s="649"/>
      <c r="B49340" s="649"/>
      <c r="E49340" s="649"/>
    </row>
    <row r="49341" spans="1:5" ht="16.5">
      <c r="A49341" s="649"/>
      <c r="B49341" s="649"/>
      <c r="E49341" s="649"/>
    </row>
    <row r="49342" spans="1:5" ht="16.5">
      <c r="A49342" s="649"/>
      <c r="B49342" s="649"/>
      <c r="E49342" s="649"/>
    </row>
    <row r="49343" spans="1:5" ht="16.5">
      <c r="A49343" s="649"/>
      <c r="B49343" s="649"/>
      <c r="E49343" s="649"/>
    </row>
    <row r="49344" spans="1:5" ht="16.5">
      <c r="A49344" s="649"/>
      <c r="B49344" s="649"/>
      <c r="E49344" s="649"/>
    </row>
    <row r="49345" spans="1:5" ht="16.5">
      <c r="A49345" s="649"/>
      <c r="B49345" s="649"/>
      <c r="E49345" s="649"/>
    </row>
    <row r="49346" spans="1:5" ht="16.5">
      <c r="A49346" s="649"/>
      <c r="B49346" s="649"/>
      <c r="E49346" s="649"/>
    </row>
    <row r="49347" spans="1:5" ht="16.5">
      <c r="A49347" s="649"/>
      <c r="B49347" s="649"/>
      <c r="E49347" s="649"/>
    </row>
    <row r="49348" spans="1:5" ht="16.5">
      <c r="A49348" s="649"/>
      <c r="B49348" s="649"/>
      <c r="E49348" s="649"/>
    </row>
    <row r="49349" spans="1:5" ht="16.5">
      <c r="A49349" s="649"/>
      <c r="B49349" s="649"/>
      <c r="E49349" s="649"/>
    </row>
    <row r="49350" spans="1:5" ht="16.5">
      <c r="A49350" s="649"/>
      <c r="B49350" s="649"/>
      <c r="E49350" s="649"/>
    </row>
    <row r="49351" spans="1:5" ht="16.5">
      <c r="A49351" s="649"/>
      <c r="B49351" s="649"/>
      <c r="E49351" s="649"/>
    </row>
    <row r="49352" spans="1:5" ht="16.5">
      <c r="A49352" s="649"/>
      <c r="B49352" s="649"/>
      <c r="E49352" s="649"/>
    </row>
    <row r="49353" spans="1:5" ht="16.5">
      <c r="A49353" s="649"/>
      <c r="B49353" s="649"/>
      <c r="E49353" s="649"/>
    </row>
    <row r="49354" spans="1:5" ht="16.5">
      <c r="A49354" s="649"/>
      <c r="B49354" s="649"/>
      <c r="E49354" s="649"/>
    </row>
    <row r="49355" spans="1:5" ht="16.5">
      <c r="A49355" s="649"/>
      <c r="B49355" s="649"/>
      <c r="E49355" s="649"/>
    </row>
    <row r="49356" spans="1:5" ht="16.5">
      <c r="A49356" s="649"/>
      <c r="B49356" s="649"/>
      <c r="E49356" s="649"/>
    </row>
    <row r="49357" spans="1:5" ht="16.5">
      <c r="A49357" s="649"/>
      <c r="B49357" s="649"/>
      <c r="E49357" s="649"/>
    </row>
    <row r="49358" spans="1:5" ht="16.5">
      <c r="A49358" s="649"/>
      <c r="B49358" s="649"/>
      <c r="E49358" s="649"/>
    </row>
    <row r="49359" spans="1:5" ht="16.5">
      <c r="A49359" s="649"/>
      <c r="B49359" s="649"/>
      <c r="E49359" s="649"/>
    </row>
    <row r="49360" spans="1:5" ht="16.5">
      <c r="A49360" s="649"/>
      <c r="B49360" s="649"/>
      <c r="E49360" s="649"/>
    </row>
    <row r="49361" spans="1:5" ht="16.5">
      <c r="A49361" s="649"/>
      <c r="B49361" s="649"/>
      <c r="E49361" s="649"/>
    </row>
    <row r="49362" spans="1:5" ht="16.5">
      <c r="A49362" s="649"/>
      <c r="B49362" s="649"/>
      <c r="E49362" s="649"/>
    </row>
    <row r="49363" spans="1:5" ht="16.5">
      <c r="A49363" s="649"/>
      <c r="B49363" s="649"/>
      <c r="E49363" s="649"/>
    </row>
    <row r="49364" spans="1:5" ht="16.5">
      <c r="A49364" s="649"/>
      <c r="B49364" s="649"/>
      <c r="E49364" s="649"/>
    </row>
    <row r="49365" spans="1:5" ht="16.5">
      <c r="A49365" s="649"/>
      <c r="B49365" s="649"/>
      <c r="E49365" s="649"/>
    </row>
    <row r="49366" spans="1:5" ht="16.5">
      <c r="A49366" s="649"/>
      <c r="B49366" s="649"/>
      <c r="E49366" s="649"/>
    </row>
    <row r="49367" spans="1:5" ht="16.5">
      <c r="A49367" s="649"/>
      <c r="B49367" s="649"/>
      <c r="E49367" s="649"/>
    </row>
    <row r="49368" spans="1:5" ht="16.5">
      <c r="A49368" s="649"/>
      <c r="B49368" s="649"/>
      <c r="E49368" s="649"/>
    </row>
    <row r="49369" spans="1:5" ht="16.5">
      <c r="A49369" s="649"/>
      <c r="B49369" s="649"/>
      <c r="E49369" s="649"/>
    </row>
    <row r="49370" spans="1:5" ht="16.5">
      <c r="A49370" s="649"/>
      <c r="B49370" s="649"/>
      <c r="E49370" s="649"/>
    </row>
    <row r="49371" spans="1:5" ht="16.5">
      <c r="A49371" s="649"/>
      <c r="B49371" s="649"/>
      <c r="E49371" s="649"/>
    </row>
    <row r="49372" spans="1:5" ht="16.5">
      <c r="A49372" s="649"/>
      <c r="B49372" s="649"/>
      <c r="E49372" s="649"/>
    </row>
    <row r="49373" spans="1:5" ht="16.5">
      <c r="A49373" s="649"/>
      <c r="B49373" s="649"/>
      <c r="E49373" s="649"/>
    </row>
    <row r="49374" spans="1:5" ht="16.5">
      <c r="A49374" s="649"/>
      <c r="B49374" s="649"/>
      <c r="E49374" s="649"/>
    </row>
    <row r="49375" spans="1:5" ht="16.5">
      <c r="A49375" s="649"/>
      <c r="B49375" s="649"/>
      <c r="E49375" s="649"/>
    </row>
    <row r="49376" spans="1:5" ht="16.5">
      <c r="A49376" s="649"/>
      <c r="B49376" s="649"/>
      <c r="E49376" s="649"/>
    </row>
    <row r="49377" spans="1:5" ht="16.5">
      <c r="A49377" s="649"/>
      <c r="B49377" s="649"/>
      <c r="E49377" s="649"/>
    </row>
    <row r="49378" spans="1:5" ht="16.5">
      <c r="A49378" s="649"/>
      <c r="B49378" s="649"/>
      <c r="E49378" s="649"/>
    </row>
    <row r="49379" spans="1:5" ht="16.5">
      <c r="A49379" s="649"/>
      <c r="B49379" s="649"/>
      <c r="E49379" s="649"/>
    </row>
    <row r="49380" spans="1:5" ht="16.5">
      <c r="A49380" s="649"/>
      <c r="B49380" s="649"/>
      <c r="E49380" s="649"/>
    </row>
    <row r="49381" spans="1:5" ht="16.5">
      <c r="A49381" s="649"/>
      <c r="B49381" s="649"/>
      <c r="E49381" s="649"/>
    </row>
    <row r="49382" spans="1:5" ht="16.5">
      <c r="A49382" s="649"/>
      <c r="B49382" s="649"/>
      <c r="E49382" s="649"/>
    </row>
    <row r="49383" spans="1:5" ht="16.5">
      <c r="A49383" s="649"/>
      <c r="B49383" s="649"/>
      <c r="E49383" s="649"/>
    </row>
    <row r="49384" spans="1:5" ht="16.5">
      <c r="A49384" s="649"/>
      <c r="B49384" s="649"/>
      <c r="E49384" s="649"/>
    </row>
    <row r="49385" spans="1:5" ht="16.5">
      <c r="A49385" s="649"/>
      <c r="B49385" s="649"/>
      <c r="E49385" s="649"/>
    </row>
    <row r="49386" spans="1:5" ht="16.5">
      <c r="A49386" s="649"/>
      <c r="B49386" s="649"/>
      <c r="E49386" s="649"/>
    </row>
    <row r="49387" spans="1:5" ht="16.5">
      <c r="A49387" s="649"/>
      <c r="B49387" s="649"/>
      <c r="E49387" s="649"/>
    </row>
    <row r="49388" spans="1:5" ht="16.5">
      <c r="A49388" s="649"/>
      <c r="B49388" s="649"/>
      <c r="E49388" s="649"/>
    </row>
    <row r="49389" spans="1:5" ht="16.5">
      <c r="A49389" s="649"/>
      <c r="B49389" s="649"/>
      <c r="E49389" s="649"/>
    </row>
    <row r="49390" spans="1:5" ht="16.5">
      <c r="A49390" s="649"/>
      <c r="B49390" s="649"/>
      <c r="E49390" s="649"/>
    </row>
    <row r="49391" spans="1:5" ht="16.5">
      <c r="A49391" s="649"/>
      <c r="B49391" s="649"/>
      <c r="E49391" s="649"/>
    </row>
    <row r="49392" spans="1:5" ht="16.5">
      <c r="A49392" s="649"/>
      <c r="B49392" s="649"/>
      <c r="E49392" s="649"/>
    </row>
    <row r="49393" spans="1:5" ht="16.5">
      <c r="A49393" s="649"/>
      <c r="B49393" s="649"/>
      <c r="E49393" s="649"/>
    </row>
    <row r="49394" spans="1:5" ht="16.5">
      <c r="A49394" s="649"/>
      <c r="B49394" s="649"/>
      <c r="E49394" s="649"/>
    </row>
    <row r="49395" spans="1:5" ht="16.5">
      <c r="A49395" s="649"/>
      <c r="B49395" s="649"/>
      <c r="E49395" s="649"/>
    </row>
    <row r="49396" spans="1:5" ht="16.5">
      <c r="A49396" s="649"/>
      <c r="B49396" s="649"/>
      <c r="E49396" s="649"/>
    </row>
    <row r="49397" spans="1:5" ht="16.5">
      <c r="A49397" s="649"/>
      <c r="B49397" s="649"/>
      <c r="E49397" s="649"/>
    </row>
    <row r="49398" spans="1:5" ht="16.5">
      <c r="A49398" s="649"/>
      <c r="B49398" s="649"/>
      <c r="E49398" s="649"/>
    </row>
    <row r="49399" spans="1:5" ht="16.5">
      <c r="A49399" s="649"/>
      <c r="B49399" s="649"/>
      <c r="E49399" s="649"/>
    </row>
    <row r="49400" spans="1:5" ht="16.5">
      <c r="A49400" s="649"/>
      <c r="B49400" s="649"/>
      <c r="E49400" s="649"/>
    </row>
    <row r="49401" spans="1:5" ht="16.5">
      <c r="A49401" s="649"/>
      <c r="B49401" s="649"/>
      <c r="E49401" s="649"/>
    </row>
    <row r="49402" spans="1:5" ht="16.5">
      <c r="A49402" s="649"/>
      <c r="B49402" s="649"/>
      <c r="E49402" s="649"/>
    </row>
    <row r="49403" spans="1:5" ht="16.5">
      <c r="A49403" s="649"/>
      <c r="B49403" s="649"/>
      <c r="E49403" s="649"/>
    </row>
    <row r="49404" spans="1:5" ht="16.5">
      <c r="A49404" s="649"/>
      <c r="B49404" s="649"/>
      <c r="E49404" s="649"/>
    </row>
    <row r="49405" spans="1:5" ht="16.5">
      <c r="A49405" s="649"/>
      <c r="B49405" s="649"/>
      <c r="E49405" s="649"/>
    </row>
    <row r="49406" spans="1:5" ht="16.5">
      <c r="A49406" s="649"/>
      <c r="B49406" s="649"/>
      <c r="E49406" s="649"/>
    </row>
    <row r="49407" spans="1:5" ht="16.5">
      <c r="A49407" s="649"/>
      <c r="B49407" s="649"/>
      <c r="E49407" s="649"/>
    </row>
    <row r="49408" spans="1:5" ht="16.5">
      <c r="A49408" s="649"/>
      <c r="B49408" s="649"/>
      <c r="E49408" s="649"/>
    </row>
    <row r="49409" spans="1:5" ht="16.5">
      <c r="A49409" s="649"/>
      <c r="B49409" s="649"/>
      <c r="E49409" s="649"/>
    </row>
    <row r="49410" spans="1:5" ht="16.5">
      <c r="A49410" s="649"/>
      <c r="B49410" s="649"/>
      <c r="E49410" s="649"/>
    </row>
    <row r="49411" spans="1:5" ht="16.5">
      <c r="A49411" s="649"/>
      <c r="B49411" s="649"/>
      <c r="E49411" s="649"/>
    </row>
    <row r="49412" spans="1:5" ht="16.5">
      <c r="A49412" s="649"/>
      <c r="B49412" s="649"/>
      <c r="E49412" s="649"/>
    </row>
    <row r="49413" spans="1:5" ht="16.5">
      <c r="A49413" s="649"/>
      <c r="B49413" s="649"/>
      <c r="E49413" s="649"/>
    </row>
    <row r="49414" spans="1:5" ht="16.5">
      <c r="A49414" s="649"/>
      <c r="B49414" s="649"/>
      <c r="E49414" s="649"/>
    </row>
    <row r="49415" spans="1:5" ht="16.5">
      <c r="A49415" s="649"/>
      <c r="B49415" s="649"/>
      <c r="E49415" s="649"/>
    </row>
    <row r="49416" spans="1:5" ht="16.5">
      <c r="A49416" s="649"/>
      <c r="B49416" s="649"/>
      <c r="E49416" s="649"/>
    </row>
    <row r="49417" spans="1:5" ht="16.5">
      <c r="A49417" s="649"/>
      <c r="B49417" s="649"/>
      <c r="E49417" s="649"/>
    </row>
    <row r="49418" spans="1:5" ht="16.5">
      <c r="A49418" s="649"/>
      <c r="B49418" s="649"/>
      <c r="E49418" s="649"/>
    </row>
    <row r="49419" spans="1:5" ht="16.5">
      <c r="A49419" s="649"/>
      <c r="B49419" s="649"/>
      <c r="E49419" s="649"/>
    </row>
    <row r="49420" spans="1:5" ht="16.5">
      <c r="A49420" s="649"/>
      <c r="B49420" s="649"/>
      <c r="E49420" s="649"/>
    </row>
    <row r="49421" spans="1:5" ht="16.5">
      <c r="A49421" s="649"/>
      <c r="B49421" s="649"/>
      <c r="E49421" s="649"/>
    </row>
    <row r="49422" spans="1:5" ht="16.5">
      <c r="A49422" s="649"/>
      <c r="B49422" s="649"/>
      <c r="E49422" s="649"/>
    </row>
    <row r="49423" spans="1:5" ht="16.5">
      <c r="A49423" s="649"/>
      <c r="B49423" s="649"/>
      <c r="E49423" s="649"/>
    </row>
    <row r="49424" spans="1:5" ht="16.5">
      <c r="A49424" s="649"/>
      <c r="B49424" s="649"/>
      <c r="E49424" s="649"/>
    </row>
    <row r="49425" spans="1:5" ht="16.5">
      <c r="A49425" s="649"/>
      <c r="B49425" s="649"/>
      <c r="E49425" s="649"/>
    </row>
    <row r="49426" spans="1:5" ht="16.5">
      <c r="A49426" s="649"/>
      <c r="B49426" s="649"/>
      <c r="E49426" s="649"/>
    </row>
    <row r="49427" spans="1:5" ht="16.5">
      <c r="A49427" s="649"/>
      <c r="B49427" s="649"/>
      <c r="E49427" s="649"/>
    </row>
    <row r="49428" spans="1:5" ht="16.5">
      <c r="A49428" s="649"/>
      <c r="B49428" s="649"/>
      <c r="E49428" s="649"/>
    </row>
    <row r="49429" spans="1:5" ht="16.5">
      <c r="A49429" s="649"/>
      <c r="B49429" s="649"/>
      <c r="E49429" s="649"/>
    </row>
    <row r="49430" spans="1:5" ht="16.5">
      <c r="A49430" s="649"/>
      <c r="B49430" s="649"/>
      <c r="E49430" s="649"/>
    </row>
    <row r="49431" spans="1:5" ht="16.5">
      <c r="A49431" s="649"/>
      <c r="B49431" s="649"/>
      <c r="E49431" s="649"/>
    </row>
    <row r="49432" spans="1:5" ht="16.5">
      <c r="A49432" s="649"/>
      <c r="B49432" s="649"/>
      <c r="E49432" s="649"/>
    </row>
    <row r="49433" spans="1:5" ht="16.5">
      <c r="A49433" s="649"/>
      <c r="B49433" s="649"/>
      <c r="E49433" s="649"/>
    </row>
    <row r="49434" spans="1:5" ht="16.5">
      <c r="A49434" s="649"/>
      <c r="B49434" s="649"/>
      <c r="E49434" s="649"/>
    </row>
    <row r="49435" spans="1:5" ht="16.5">
      <c r="A49435" s="649"/>
      <c r="B49435" s="649"/>
      <c r="E49435" s="649"/>
    </row>
    <row r="49436" spans="1:5" ht="16.5">
      <c r="A49436" s="649"/>
      <c r="B49436" s="649"/>
      <c r="E49436" s="649"/>
    </row>
    <row r="49437" spans="1:5" ht="16.5">
      <c r="A49437" s="649"/>
      <c r="B49437" s="649"/>
      <c r="E49437" s="649"/>
    </row>
    <row r="49438" spans="1:5" ht="16.5">
      <c r="A49438" s="649"/>
      <c r="B49438" s="649"/>
      <c r="E49438" s="649"/>
    </row>
    <row r="49439" spans="1:5" ht="16.5">
      <c r="A49439" s="649"/>
      <c r="B49439" s="649"/>
      <c r="E49439" s="649"/>
    </row>
    <row r="49440" spans="1:5" ht="16.5">
      <c r="A49440" s="649"/>
      <c r="B49440" s="649"/>
      <c r="E49440" s="649"/>
    </row>
    <row r="49441" spans="1:5" ht="16.5">
      <c r="A49441" s="649"/>
      <c r="B49441" s="649"/>
      <c r="E49441" s="649"/>
    </row>
    <row r="49442" spans="1:5" ht="16.5">
      <c r="A49442" s="649"/>
      <c r="B49442" s="649"/>
      <c r="E49442" s="649"/>
    </row>
    <row r="49443" spans="1:5" ht="16.5">
      <c r="A49443" s="649"/>
      <c r="B49443" s="649"/>
      <c r="E49443" s="649"/>
    </row>
    <row r="49444" spans="1:5" ht="16.5">
      <c r="A49444" s="649"/>
      <c r="B49444" s="649"/>
      <c r="E49444" s="649"/>
    </row>
    <row r="49445" spans="1:5" ht="16.5">
      <c r="A49445" s="649"/>
      <c r="B49445" s="649"/>
      <c r="E49445" s="649"/>
    </row>
    <row r="49446" spans="1:5" ht="16.5">
      <c r="A49446" s="649"/>
      <c r="B49446" s="649"/>
      <c r="E49446" s="649"/>
    </row>
    <row r="49447" spans="1:5" ht="16.5">
      <c r="A49447" s="649"/>
      <c r="B49447" s="649"/>
      <c r="E49447" s="649"/>
    </row>
    <row r="49448" spans="1:5" ht="16.5">
      <c r="A49448" s="649"/>
      <c r="B49448" s="649"/>
      <c r="E49448" s="649"/>
    </row>
    <row r="49449" spans="1:5" ht="16.5">
      <c r="A49449" s="649"/>
      <c r="B49449" s="649"/>
      <c r="E49449" s="649"/>
    </row>
    <row r="49450" spans="1:5" ht="16.5">
      <c r="A49450" s="649"/>
      <c r="B49450" s="649"/>
      <c r="E49450" s="649"/>
    </row>
    <row r="49451" spans="1:5" ht="16.5">
      <c r="A49451" s="649"/>
      <c r="B49451" s="649"/>
      <c r="E49451" s="649"/>
    </row>
    <row r="49452" spans="1:5" ht="16.5">
      <c r="A49452" s="649"/>
      <c r="B49452" s="649"/>
      <c r="E49452" s="649"/>
    </row>
    <row r="49453" spans="1:5" ht="16.5">
      <c r="A49453" s="649"/>
      <c r="B49453" s="649"/>
      <c r="E49453" s="649"/>
    </row>
    <row r="49454" spans="1:5" ht="16.5">
      <c r="A49454" s="649"/>
      <c r="B49454" s="649"/>
      <c r="E49454" s="649"/>
    </row>
    <row r="49455" spans="1:5" ht="16.5">
      <c r="A49455" s="649"/>
      <c r="B49455" s="649"/>
      <c r="E49455" s="649"/>
    </row>
    <row r="49456" spans="1:5" ht="16.5">
      <c r="A49456" s="649"/>
      <c r="B49456" s="649"/>
      <c r="E49456" s="649"/>
    </row>
    <row r="49457" spans="1:5" ht="16.5">
      <c r="A49457" s="649"/>
      <c r="B49457" s="649"/>
      <c r="E49457" s="649"/>
    </row>
    <row r="49458" spans="1:5" ht="16.5">
      <c r="A49458" s="649"/>
      <c r="B49458" s="649"/>
      <c r="E49458" s="649"/>
    </row>
    <row r="49459" spans="1:5" ht="16.5">
      <c r="A49459" s="649"/>
      <c r="B49459" s="649"/>
      <c r="E49459" s="649"/>
    </row>
    <row r="49460" spans="1:5" ht="16.5">
      <c r="A49460" s="649"/>
      <c r="B49460" s="649"/>
      <c r="E49460" s="649"/>
    </row>
    <row r="49461" spans="1:5" ht="16.5">
      <c r="A49461" s="649"/>
      <c r="B49461" s="649"/>
      <c r="E49461" s="649"/>
    </row>
    <row r="49462" spans="1:5" ht="16.5">
      <c r="A49462" s="649"/>
      <c r="B49462" s="649"/>
      <c r="E49462" s="649"/>
    </row>
    <row r="49463" spans="1:5" ht="16.5">
      <c r="A49463" s="649"/>
      <c r="B49463" s="649"/>
      <c r="E49463" s="649"/>
    </row>
    <row r="49464" spans="1:5" ht="16.5">
      <c r="A49464" s="649"/>
      <c r="B49464" s="649"/>
      <c r="E49464" s="649"/>
    </row>
    <row r="49465" spans="1:5" ht="16.5">
      <c r="A49465" s="649"/>
      <c r="B49465" s="649"/>
      <c r="E49465" s="649"/>
    </row>
    <row r="49466" spans="1:5" ht="16.5">
      <c r="A49466" s="649"/>
      <c r="B49466" s="649"/>
      <c r="E49466" s="649"/>
    </row>
    <row r="49467" spans="1:5" ht="16.5">
      <c r="A49467" s="649"/>
      <c r="B49467" s="649"/>
      <c r="E49467" s="649"/>
    </row>
    <row r="49468" spans="1:5" ht="16.5">
      <c r="A49468" s="649"/>
      <c r="B49468" s="649"/>
      <c r="E49468" s="649"/>
    </row>
    <row r="49469" spans="1:5" ht="16.5">
      <c r="A49469" s="649"/>
      <c r="B49469" s="649"/>
      <c r="E49469" s="649"/>
    </row>
    <row r="49470" spans="1:5" ht="16.5">
      <c r="A49470" s="649"/>
      <c r="B49470" s="649"/>
      <c r="E49470" s="649"/>
    </row>
    <row r="49471" spans="1:5" ht="16.5">
      <c r="A49471" s="649"/>
      <c r="B49471" s="649"/>
      <c r="E49471" s="649"/>
    </row>
    <row r="49472" spans="1:5" ht="16.5">
      <c r="A49472" s="649"/>
      <c r="B49472" s="649"/>
      <c r="E49472" s="649"/>
    </row>
    <row r="49473" spans="1:5" ht="16.5">
      <c r="A49473" s="649"/>
      <c r="B49473" s="649"/>
      <c r="E49473" s="649"/>
    </row>
    <row r="49474" spans="1:5" ht="16.5">
      <c r="A49474" s="649"/>
      <c r="B49474" s="649"/>
      <c r="E49474" s="649"/>
    </row>
    <row r="49475" spans="1:5" ht="16.5">
      <c r="A49475" s="649"/>
      <c r="B49475" s="649"/>
      <c r="E49475" s="649"/>
    </row>
    <row r="49476" spans="1:5" ht="16.5">
      <c r="A49476" s="649"/>
      <c r="B49476" s="649"/>
      <c r="E49476" s="649"/>
    </row>
    <row r="49477" spans="1:5" ht="16.5">
      <c r="A49477" s="649"/>
      <c r="B49477" s="649"/>
      <c r="E49477" s="649"/>
    </row>
    <row r="49478" spans="1:5" ht="16.5">
      <c r="A49478" s="649"/>
      <c r="B49478" s="649"/>
      <c r="E49478" s="649"/>
    </row>
    <row r="49479" spans="1:5" ht="16.5">
      <c r="A49479" s="649"/>
      <c r="B49479" s="649"/>
      <c r="E49479" s="649"/>
    </row>
    <row r="49480" spans="1:5" ht="16.5">
      <c r="A49480" s="649"/>
      <c r="B49480" s="649"/>
      <c r="E49480" s="649"/>
    </row>
    <row r="49481" spans="1:5" ht="16.5">
      <c r="A49481" s="649"/>
      <c r="B49481" s="649"/>
      <c r="E49481" s="649"/>
    </row>
    <row r="49482" spans="1:5" ht="16.5">
      <c r="A49482" s="649"/>
      <c r="B49482" s="649"/>
      <c r="E49482" s="649"/>
    </row>
    <row r="49483" spans="1:5" ht="16.5">
      <c r="A49483" s="649"/>
      <c r="B49483" s="649"/>
      <c r="E49483" s="649"/>
    </row>
    <row r="49484" spans="1:5" ht="16.5">
      <c r="A49484" s="649"/>
      <c r="B49484" s="649"/>
      <c r="E49484" s="649"/>
    </row>
    <row r="49485" spans="1:5" ht="16.5">
      <c r="A49485" s="649"/>
      <c r="B49485" s="649"/>
      <c r="E49485" s="649"/>
    </row>
    <row r="49486" spans="1:5" ht="16.5">
      <c r="A49486" s="649"/>
      <c r="B49486" s="649"/>
      <c r="E49486" s="649"/>
    </row>
    <row r="49487" spans="1:5" ht="16.5">
      <c r="A49487" s="649"/>
      <c r="B49487" s="649"/>
      <c r="E49487" s="649"/>
    </row>
    <row r="49488" spans="1:5" ht="16.5">
      <c r="A49488" s="649"/>
      <c r="B49488" s="649"/>
      <c r="E49488" s="649"/>
    </row>
    <row r="49489" spans="1:5" ht="16.5">
      <c r="A49489" s="649"/>
      <c r="B49489" s="649"/>
      <c r="E49489" s="649"/>
    </row>
    <row r="49490" spans="1:5" ht="16.5">
      <c r="A49490" s="649"/>
      <c r="B49490" s="649"/>
      <c r="E49490" s="649"/>
    </row>
    <row r="49491" spans="1:5" ht="16.5">
      <c r="A49491" s="649"/>
      <c r="B49491" s="649"/>
      <c r="E49491" s="649"/>
    </row>
    <row r="49492" spans="1:5" ht="16.5">
      <c r="A49492" s="649"/>
      <c r="B49492" s="649"/>
      <c r="E49492" s="649"/>
    </row>
    <row r="49493" spans="1:5" ht="16.5">
      <c r="A49493" s="649"/>
      <c r="B49493" s="649"/>
      <c r="E49493" s="649"/>
    </row>
    <row r="49494" spans="1:5" ht="16.5">
      <c r="A49494" s="649"/>
      <c r="B49494" s="649"/>
      <c r="E49494" s="649"/>
    </row>
    <row r="49495" spans="1:5" ht="16.5">
      <c r="A49495" s="649"/>
      <c r="B49495" s="649"/>
      <c r="E49495" s="649"/>
    </row>
    <row r="49496" spans="1:5" ht="16.5">
      <c r="A49496" s="649"/>
      <c r="B49496" s="649"/>
      <c r="E49496" s="649"/>
    </row>
    <row r="49497" spans="1:5" ht="16.5">
      <c r="A49497" s="649"/>
      <c r="B49497" s="649"/>
      <c r="E49497" s="649"/>
    </row>
    <row r="49498" spans="1:5" ht="16.5">
      <c r="A49498" s="649"/>
      <c r="B49498" s="649"/>
      <c r="E49498" s="649"/>
    </row>
    <row r="49499" spans="1:5" ht="16.5">
      <c r="A49499" s="649"/>
      <c r="B49499" s="649"/>
      <c r="E49499" s="649"/>
    </row>
    <row r="49500" spans="1:5" ht="16.5">
      <c r="A49500" s="649"/>
      <c r="B49500" s="649"/>
      <c r="E49500" s="649"/>
    </row>
    <row r="49501" spans="1:5" ht="16.5">
      <c r="A49501" s="649"/>
      <c r="B49501" s="649"/>
      <c r="E49501" s="649"/>
    </row>
    <row r="49502" spans="1:5" ht="16.5">
      <c r="A49502" s="649"/>
      <c r="B49502" s="649"/>
      <c r="E49502" s="649"/>
    </row>
    <row r="49503" spans="1:5" ht="16.5">
      <c r="A49503" s="649"/>
      <c r="B49503" s="649"/>
      <c r="E49503" s="649"/>
    </row>
    <row r="49504" spans="1:5" ht="16.5">
      <c r="A49504" s="649"/>
      <c r="B49504" s="649"/>
      <c r="E49504" s="649"/>
    </row>
    <row r="49505" spans="1:5" ht="16.5">
      <c r="A49505" s="649"/>
      <c r="B49505" s="649"/>
      <c r="E49505" s="649"/>
    </row>
    <row r="49506" spans="1:5" ht="16.5">
      <c r="A49506" s="649"/>
      <c r="B49506" s="649"/>
      <c r="E49506" s="649"/>
    </row>
    <row r="49507" spans="1:5" ht="16.5">
      <c r="A49507" s="649"/>
      <c r="B49507" s="649"/>
      <c r="E49507" s="649"/>
    </row>
    <row r="49508" spans="1:5" ht="16.5">
      <c r="A49508" s="649"/>
      <c r="B49508" s="649"/>
      <c r="E49508" s="649"/>
    </row>
    <row r="49509" spans="1:5" ht="16.5">
      <c r="A49509" s="649"/>
      <c r="B49509" s="649"/>
      <c r="E49509" s="649"/>
    </row>
    <row r="49510" spans="1:5" ht="16.5">
      <c r="A49510" s="649"/>
      <c r="B49510" s="649"/>
      <c r="E49510" s="649"/>
    </row>
    <row r="49511" spans="1:5" ht="16.5">
      <c r="A49511" s="649"/>
      <c r="B49511" s="649"/>
      <c r="E49511" s="649"/>
    </row>
    <row r="49512" spans="1:5" ht="16.5">
      <c r="A49512" s="649"/>
      <c r="B49512" s="649"/>
      <c r="E49512" s="649"/>
    </row>
    <row r="49513" spans="1:5" ht="16.5">
      <c r="A49513" s="649"/>
      <c r="B49513" s="649"/>
      <c r="E49513" s="649"/>
    </row>
    <row r="49514" spans="1:5" ht="16.5">
      <c r="A49514" s="649"/>
      <c r="B49514" s="649"/>
      <c r="E49514" s="649"/>
    </row>
    <row r="49515" spans="1:5" ht="16.5">
      <c r="A49515" s="649"/>
      <c r="B49515" s="649"/>
      <c r="E49515" s="649"/>
    </row>
    <row r="49516" spans="1:5" ht="16.5">
      <c r="A49516" s="649"/>
      <c r="B49516" s="649"/>
      <c r="E49516" s="649"/>
    </row>
    <row r="49517" spans="1:5" ht="16.5">
      <c r="A49517" s="649"/>
      <c r="B49517" s="649"/>
      <c r="E49517" s="649"/>
    </row>
    <row r="49518" spans="1:5" ht="16.5">
      <c r="A49518" s="649"/>
      <c r="B49518" s="649"/>
      <c r="E49518" s="649"/>
    </row>
    <row r="49519" spans="1:5" ht="16.5">
      <c r="A49519" s="649"/>
      <c r="B49519" s="649"/>
      <c r="E49519" s="649"/>
    </row>
    <row r="49520" spans="1:5" ht="16.5">
      <c r="A49520" s="649"/>
      <c r="B49520" s="649"/>
      <c r="E49520" s="649"/>
    </row>
    <row r="49521" spans="1:5" ht="16.5">
      <c r="A49521" s="649"/>
      <c r="B49521" s="649"/>
      <c r="E49521" s="649"/>
    </row>
    <row r="49522" spans="1:5" ht="16.5">
      <c r="A49522" s="649"/>
      <c r="B49522" s="649"/>
      <c r="E49522" s="649"/>
    </row>
    <row r="49523" spans="1:5" ht="16.5">
      <c r="A49523" s="649"/>
      <c r="B49523" s="649"/>
      <c r="E49523" s="649"/>
    </row>
    <row r="49524" spans="1:5" ht="16.5">
      <c r="A49524" s="649"/>
      <c r="B49524" s="649"/>
      <c r="E49524" s="649"/>
    </row>
    <row r="49525" spans="1:5" ht="16.5">
      <c r="A49525" s="649"/>
      <c r="B49525" s="649"/>
      <c r="E49525" s="649"/>
    </row>
    <row r="49526" spans="1:5" ht="16.5">
      <c r="A49526" s="649"/>
      <c r="B49526" s="649"/>
      <c r="E49526" s="649"/>
    </row>
    <row r="49527" spans="1:5" ht="16.5">
      <c r="A49527" s="649"/>
      <c r="B49527" s="649"/>
      <c r="E49527" s="649"/>
    </row>
    <row r="49528" spans="1:5" ht="16.5">
      <c r="A49528" s="649"/>
      <c r="B49528" s="649"/>
      <c r="E49528" s="649"/>
    </row>
    <row r="49529" spans="1:5" ht="16.5">
      <c r="A49529" s="649"/>
      <c r="B49529" s="649"/>
      <c r="E49529" s="649"/>
    </row>
    <row r="49530" spans="1:5" ht="16.5">
      <c r="A49530" s="649"/>
      <c r="B49530" s="649"/>
      <c r="E49530" s="649"/>
    </row>
    <row r="49531" spans="1:5" ht="16.5">
      <c r="A49531" s="649"/>
      <c r="B49531" s="649"/>
      <c r="E49531" s="649"/>
    </row>
    <row r="49532" spans="1:5" ht="16.5">
      <c r="A49532" s="649"/>
      <c r="B49532" s="649"/>
      <c r="E49532" s="649"/>
    </row>
    <row r="49533" spans="1:5" ht="16.5">
      <c r="A49533" s="649"/>
      <c r="B49533" s="649"/>
      <c r="E49533" s="649"/>
    </row>
    <row r="49534" spans="1:5" ht="16.5">
      <c r="A49534" s="649"/>
      <c r="B49534" s="649"/>
      <c r="E49534" s="649"/>
    </row>
    <row r="49535" spans="1:5" ht="16.5">
      <c r="A49535" s="649"/>
      <c r="B49535" s="649"/>
      <c r="E49535" s="649"/>
    </row>
    <row r="49536" spans="1:5" ht="16.5">
      <c r="A49536" s="649"/>
      <c r="B49536" s="649"/>
      <c r="E49536" s="649"/>
    </row>
    <row r="49537" spans="1:5" ht="16.5">
      <c r="A49537" s="649"/>
      <c r="B49537" s="649"/>
      <c r="E49537" s="649"/>
    </row>
    <row r="49538" spans="1:5" ht="16.5">
      <c r="A49538" s="649"/>
      <c r="B49538" s="649"/>
      <c r="E49538" s="649"/>
    </row>
    <row r="49539" spans="1:5" ht="16.5">
      <c r="A49539" s="649"/>
      <c r="B49539" s="649"/>
      <c r="E49539" s="649"/>
    </row>
    <row r="49540" spans="1:5" ht="16.5">
      <c r="A49540" s="649"/>
      <c r="B49540" s="649"/>
      <c r="E49540" s="649"/>
    </row>
    <row r="49541" spans="1:5" ht="16.5">
      <c r="A49541" s="649"/>
      <c r="B49541" s="649"/>
      <c r="E49541" s="649"/>
    </row>
    <row r="49542" spans="1:5" ht="16.5">
      <c r="A49542" s="649"/>
      <c r="B49542" s="649"/>
      <c r="E49542" s="649"/>
    </row>
    <row r="49543" spans="1:5" ht="16.5">
      <c r="A49543" s="649"/>
      <c r="B49543" s="649"/>
      <c r="E49543" s="649"/>
    </row>
    <row r="49544" spans="1:5" ht="16.5">
      <c r="A49544" s="649"/>
      <c r="B49544" s="649"/>
      <c r="E49544" s="649"/>
    </row>
    <row r="49545" spans="1:5" ht="16.5">
      <c r="A49545" s="649"/>
      <c r="B49545" s="649"/>
      <c r="E49545" s="649"/>
    </row>
    <row r="49546" spans="1:5" ht="16.5">
      <c r="A49546" s="649"/>
      <c r="B49546" s="649"/>
      <c r="E49546" s="649"/>
    </row>
    <row r="49547" spans="1:5" ht="16.5">
      <c r="A49547" s="649"/>
      <c r="B49547" s="649"/>
      <c r="E49547" s="649"/>
    </row>
    <row r="49548" spans="1:5" ht="16.5">
      <c r="A49548" s="649"/>
      <c r="B49548" s="649"/>
      <c r="E49548" s="649"/>
    </row>
    <row r="49549" spans="1:5" ht="16.5">
      <c r="A49549" s="649"/>
      <c r="B49549" s="649"/>
      <c r="E49549" s="649"/>
    </row>
    <row r="49550" spans="1:5" ht="16.5">
      <c r="A49550" s="649"/>
      <c r="B49550" s="649"/>
      <c r="E49550" s="649"/>
    </row>
    <row r="49551" spans="1:5" ht="16.5">
      <c r="A49551" s="649"/>
      <c r="B49551" s="649"/>
      <c r="E49551" s="649"/>
    </row>
    <row r="49552" spans="1:5" ht="16.5">
      <c r="A49552" s="649"/>
      <c r="B49552" s="649"/>
      <c r="E49552" s="649"/>
    </row>
    <row r="49553" spans="1:5" ht="16.5">
      <c r="A49553" s="649"/>
      <c r="B49553" s="649"/>
      <c r="E49553" s="649"/>
    </row>
    <row r="49554" spans="1:5" ht="16.5">
      <c r="A49554" s="649"/>
      <c r="B49554" s="649"/>
      <c r="E49554" s="649"/>
    </row>
    <row r="49555" spans="1:5" ht="16.5">
      <c r="A49555" s="649"/>
      <c r="B49555" s="649"/>
      <c r="E49555" s="649"/>
    </row>
    <row r="49556" spans="1:5" ht="16.5">
      <c r="A49556" s="649"/>
      <c r="B49556" s="649"/>
      <c r="E49556" s="649"/>
    </row>
    <row r="49557" spans="1:5" ht="16.5">
      <c r="A49557" s="649"/>
      <c r="B49557" s="649"/>
      <c r="E49557" s="649"/>
    </row>
    <row r="49558" spans="1:5" ht="16.5">
      <c r="A49558" s="649"/>
      <c r="B49558" s="649"/>
      <c r="E49558" s="649"/>
    </row>
    <row r="49559" spans="1:5" ht="16.5">
      <c r="A49559" s="649"/>
      <c r="B49559" s="649"/>
      <c r="E49559" s="649"/>
    </row>
    <row r="49560" spans="1:5" ht="16.5">
      <c r="A49560" s="649"/>
      <c r="B49560" s="649"/>
      <c r="E49560" s="649"/>
    </row>
    <row r="49561" spans="1:5" ht="16.5">
      <c r="A49561" s="649"/>
      <c r="B49561" s="649"/>
      <c r="E49561" s="649"/>
    </row>
    <row r="49562" spans="1:5" ht="16.5">
      <c r="A49562" s="649"/>
      <c r="B49562" s="649"/>
      <c r="E49562" s="649"/>
    </row>
    <row r="49563" spans="1:5" ht="16.5">
      <c r="A49563" s="649"/>
      <c r="B49563" s="649"/>
      <c r="E49563" s="649"/>
    </row>
    <row r="49564" spans="1:5" ht="16.5">
      <c r="A49564" s="649"/>
      <c r="B49564" s="649"/>
      <c r="E49564" s="649"/>
    </row>
    <row r="49565" spans="1:5" ht="16.5">
      <c r="A49565" s="649"/>
      <c r="B49565" s="649"/>
      <c r="E49565" s="649"/>
    </row>
    <row r="49566" spans="1:5" ht="16.5">
      <c r="A49566" s="649"/>
      <c r="B49566" s="649"/>
      <c r="E49566" s="649"/>
    </row>
    <row r="49567" spans="1:5" ht="16.5">
      <c r="A49567" s="649"/>
      <c r="B49567" s="649"/>
      <c r="E49567" s="649"/>
    </row>
    <row r="49568" spans="1:5" ht="16.5">
      <c r="A49568" s="649"/>
      <c r="B49568" s="649"/>
      <c r="E49568" s="649"/>
    </row>
    <row r="49569" spans="1:5" ht="16.5">
      <c r="A49569" s="649"/>
      <c r="B49569" s="649"/>
      <c r="E49569" s="649"/>
    </row>
    <row r="49570" spans="1:5" ht="16.5">
      <c r="A49570" s="649"/>
      <c r="B49570" s="649"/>
      <c r="E49570" s="649"/>
    </row>
    <row r="49571" spans="1:5" ht="16.5">
      <c r="A49571" s="649"/>
      <c r="B49571" s="649"/>
      <c r="E49571" s="649"/>
    </row>
    <row r="49572" spans="1:5" ht="16.5">
      <c r="A49572" s="649"/>
      <c r="B49572" s="649"/>
      <c r="E49572" s="649"/>
    </row>
    <row r="49573" spans="1:5" ht="16.5">
      <c r="A49573" s="649"/>
      <c r="B49573" s="649"/>
      <c r="E49573" s="649"/>
    </row>
    <row r="49574" spans="1:5" ht="16.5">
      <c r="A49574" s="649"/>
      <c r="B49574" s="649"/>
      <c r="E49574" s="649"/>
    </row>
    <row r="49575" spans="1:5" ht="16.5">
      <c r="A49575" s="649"/>
      <c r="B49575" s="649"/>
      <c r="E49575" s="649"/>
    </row>
    <row r="49576" spans="1:5" ht="16.5">
      <c r="A49576" s="649"/>
      <c r="B49576" s="649"/>
      <c r="E49576" s="649"/>
    </row>
    <row r="49577" spans="1:5" ht="16.5">
      <c r="A49577" s="649"/>
      <c r="B49577" s="649"/>
      <c r="E49577" s="649"/>
    </row>
    <row r="49578" spans="1:5" ht="16.5">
      <c r="A49578" s="649"/>
      <c r="B49578" s="649"/>
      <c r="E49578" s="649"/>
    </row>
    <row r="49579" spans="1:5" ht="16.5">
      <c r="A49579" s="649"/>
      <c r="B49579" s="649"/>
      <c r="E49579" s="649"/>
    </row>
    <row r="49580" spans="1:5" ht="16.5">
      <c r="A49580" s="649"/>
      <c r="B49580" s="649"/>
      <c r="E49580" s="649"/>
    </row>
    <row r="49581" spans="1:5" ht="16.5">
      <c r="A49581" s="649"/>
      <c r="B49581" s="649"/>
      <c r="E49581" s="649"/>
    </row>
    <row r="49582" spans="1:5" ht="16.5">
      <c r="A49582" s="649"/>
      <c r="B49582" s="649"/>
      <c r="E49582" s="649"/>
    </row>
    <row r="49583" spans="1:5" ht="16.5">
      <c r="A49583" s="649"/>
      <c r="B49583" s="649"/>
      <c r="E49583" s="649"/>
    </row>
    <row r="49584" spans="1:5" ht="16.5">
      <c r="A49584" s="649"/>
      <c r="B49584" s="649"/>
      <c r="E49584" s="649"/>
    </row>
    <row r="49585" spans="1:5" ht="16.5">
      <c r="A49585" s="649"/>
      <c r="B49585" s="649"/>
      <c r="E49585" s="649"/>
    </row>
    <row r="49586" spans="1:5" ht="16.5">
      <c r="A49586" s="649"/>
      <c r="B49586" s="649"/>
      <c r="E49586" s="649"/>
    </row>
    <row r="49587" spans="1:5" ht="16.5">
      <c r="A49587" s="649"/>
      <c r="B49587" s="649"/>
      <c r="E49587" s="649"/>
    </row>
    <row r="49588" spans="1:5" ht="16.5">
      <c r="A49588" s="649"/>
      <c r="B49588" s="649"/>
      <c r="E49588" s="649"/>
    </row>
    <row r="49589" spans="1:5" ht="16.5">
      <c r="A49589" s="649"/>
      <c r="B49589" s="649"/>
      <c r="E49589" s="649"/>
    </row>
    <row r="49590" spans="1:5" ht="16.5">
      <c r="A49590" s="649"/>
      <c r="B49590" s="649"/>
      <c r="E49590" s="649"/>
    </row>
    <row r="49591" spans="1:5" ht="16.5">
      <c r="A49591" s="649"/>
      <c r="B49591" s="649"/>
      <c r="E49591" s="649"/>
    </row>
    <row r="49592" spans="1:5" ht="16.5">
      <c r="A49592" s="649"/>
      <c r="B49592" s="649"/>
      <c r="E49592" s="649"/>
    </row>
    <row r="49593" spans="1:5" ht="16.5">
      <c r="A49593" s="649"/>
      <c r="B49593" s="649"/>
      <c r="E49593" s="649"/>
    </row>
    <row r="49594" spans="1:5" ht="16.5">
      <c r="A49594" s="649"/>
      <c r="B49594" s="649"/>
      <c r="E49594" s="649"/>
    </row>
    <row r="49595" spans="1:5" ht="16.5">
      <c r="A49595" s="649"/>
      <c r="B49595" s="649"/>
      <c r="E49595" s="649"/>
    </row>
    <row r="49596" spans="1:5" ht="16.5">
      <c r="A49596" s="649"/>
      <c r="B49596" s="649"/>
      <c r="E49596" s="649"/>
    </row>
    <row r="49597" spans="1:5" ht="16.5">
      <c r="A49597" s="649"/>
      <c r="B49597" s="649"/>
      <c r="E49597" s="649"/>
    </row>
    <row r="49598" spans="1:5" ht="16.5">
      <c r="A49598" s="649"/>
      <c r="B49598" s="649"/>
      <c r="E49598" s="649"/>
    </row>
    <row r="49599" spans="1:5" ht="16.5">
      <c r="A49599" s="649"/>
      <c r="B49599" s="649"/>
      <c r="E49599" s="649"/>
    </row>
    <row r="49600" spans="1:5" ht="16.5">
      <c r="A49600" s="649"/>
      <c r="B49600" s="649"/>
      <c r="E49600" s="649"/>
    </row>
    <row r="49601" spans="1:5" ht="16.5">
      <c r="A49601" s="649"/>
      <c r="B49601" s="649"/>
      <c r="E49601" s="649"/>
    </row>
    <row r="49602" spans="1:5" ht="16.5">
      <c r="A49602" s="649"/>
      <c r="B49602" s="649"/>
      <c r="E49602" s="649"/>
    </row>
    <row r="49603" spans="1:5" ht="16.5">
      <c r="A49603" s="649"/>
      <c r="B49603" s="649"/>
      <c r="E49603" s="649"/>
    </row>
    <row r="49604" spans="1:5" ht="16.5">
      <c r="A49604" s="649"/>
      <c r="B49604" s="649"/>
      <c r="E49604" s="649"/>
    </row>
    <row r="49605" spans="1:5" ht="16.5">
      <c r="A49605" s="649"/>
      <c r="B49605" s="649"/>
      <c r="E49605" s="649"/>
    </row>
    <row r="49606" spans="1:5" ht="16.5">
      <c r="A49606" s="649"/>
      <c r="B49606" s="649"/>
      <c r="E49606" s="649"/>
    </row>
    <row r="49607" spans="1:5" ht="16.5">
      <c r="A49607" s="649"/>
      <c r="B49607" s="649"/>
      <c r="E49607" s="649"/>
    </row>
    <row r="49608" spans="1:5" ht="16.5">
      <c r="A49608" s="649"/>
      <c r="B49608" s="649"/>
      <c r="E49608" s="649"/>
    </row>
    <row r="49609" spans="1:5" ht="16.5">
      <c r="A49609" s="649"/>
      <c r="B49609" s="649"/>
      <c r="E49609" s="649"/>
    </row>
    <row r="49610" spans="1:5" ht="16.5">
      <c r="A49610" s="649"/>
      <c r="B49610" s="649"/>
      <c r="E49610" s="649"/>
    </row>
    <row r="49611" spans="1:5" ht="16.5">
      <c r="A49611" s="649"/>
      <c r="B49611" s="649"/>
      <c r="E49611" s="649"/>
    </row>
    <row r="49612" spans="1:5" ht="16.5">
      <c r="A49612" s="649"/>
      <c r="B49612" s="649"/>
      <c r="E49612" s="649"/>
    </row>
    <row r="49613" spans="1:5" ht="16.5">
      <c r="A49613" s="649"/>
      <c r="B49613" s="649"/>
      <c r="E49613" s="649"/>
    </row>
    <row r="49614" spans="1:5" ht="16.5">
      <c r="A49614" s="649"/>
      <c r="B49614" s="649"/>
      <c r="E49614" s="649"/>
    </row>
    <row r="49615" spans="1:5" ht="16.5">
      <c r="A49615" s="649"/>
      <c r="B49615" s="649"/>
      <c r="E49615" s="649"/>
    </row>
    <row r="49616" spans="1:5" ht="16.5">
      <c r="A49616" s="649"/>
      <c r="B49616" s="649"/>
      <c r="E49616" s="649"/>
    </row>
    <row r="49617" spans="1:5" ht="16.5">
      <c r="A49617" s="649"/>
      <c r="B49617" s="649"/>
      <c r="E49617" s="649"/>
    </row>
    <row r="49618" spans="1:5" ht="16.5">
      <c r="A49618" s="649"/>
      <c r="B49618" s="649"/>
      <c r="E49618" s="649"/>
    </row>
    <row r="49619" spans="1:5" ht="16.5">
      <c r="A49619" s="649"/>
      <c r="B49619" s="649"/>
      <c r="E49619" s="649"/>
    </row>
    <row r="49620" spans="1:5" ht="16.5">
      <c r="A49620" s="649"/>
      <c r="B49620" s="649"/>
      <c r="E49620" s="649"/>
    </row>
    <row r="49621" spans="1:5" ht="16.5">
      <c r="A49621" s="649"/>
      <c r="B49621" s="649"/>
      <c r="E49621" s="649"/>
    </row>
    <row r="49622" spans="1:5" ht="16.5">
      <c r="A49622" s="649"/>
      <c r="B49622" s="649"/>
      <c r="E49622" s="649"/>
    </row>
    <row r="49623" spans="1:5" ht="16.5">
      <c r="A49623" s="649"/>
      <c r="B49623" s="649"/>
      <c r="E49623" s="649"/>
    </row>
    <row r="49624" spans="1:5" ht="16.5">
      <c r="A49624" s="649"/>
      <c r="B49624" s="649"/>
      <c r="E49624" s="649"/>
    </row>
    <row r="49625" spans="1:5" ht="16.5">
      <c r="A49625" s="649"/>
      <c r="B49625" s="649"/>
      <c r="E49625" s="649"/>
    </row>
    <row r="49626" spans="1:5" ht="16.5">
      <c r="A49626" s="649"/>
      <c r="B49626" s="649"/>
      <c r="E49626" s="649"/>
    </row>
    <row r="49627" spans="1:5" ht="16.5">
      <c r="A49627" s="649"/>
      <c r="B49627" s="649"/>
      <c r="E49627" s="649"/>
    </row>
    <row r="49628" spans="1:5" ht="16.5">
      <c r="A49628" s="649"/>
      <c r="B49628" s="649"/>
      <c r="E49628" s="649"/>
    </row>
    <row r="49629" spans="1:5" ht="16.5">
      <c r="A49629" s="649"/>
      <c r="B49629" s="649"/>
      <c r="E49629" s="649"/>
    </row>
    <row r="49630" spans="1:5" ht="16.5">
      <c r="A49630" s="649"/>
      <c r="B49630" s="649"/>
      <c r="E49630" s="649"/>
    </row>
    <row r="49631" spans="1:5" ht="16.5">
      <c r="A49631" s="649"/>
      <c r="B49631" s="649"/>
      <c r="E49631" s="649"/>
    </row>
    <row r="49632" spans="1:5" ht="16.5">
      <c r="A49632" s="649"/>
      <c r="B49632" s="649"/>
      <c r="E49632" s="649"/>
    </row>
    <row r="49633" spans="1:5" ht="16.5">
      <c r="A49633" s="649"/>
      <c r="B49633" s="649"/>
      <c r="E49633" s="649"/>
    </row>
    <row r="49634" spans="1:5" ht="16.5">
      <c r="A49634" s="649"/>
      <c r="B49634" s="649"/>
      <c r="E49634" s="649"/>
    </row>
    <row r="49635" spans="1:5" ht="16.5">
      <c r="A49635" s="649"/>
      <c r="B49635" s="649"/>
      <c r="E49635" s="649"/>
    </row>
    <row r="49636" spans="1:5" ht="16.5">
      <c r="A49636" s="649"/>
      <c r="B49636" s="649"/>
      <c r="E49636" s="649"/>
    </row>
    <row r="49637" spans="1:5" ht="16.5">
      <c r="A49637" s="649"/>
      <c r="B49637" s="649"/>
      <c r="E49637" s="649"/>
    </row>
    <row r="49638" spans="1:5" ht="16.5">
      <c r="A49638" s="649"/>
      <c r="B49638" s="649"/>
      <c r="E49638" s="649"/>
    </row>
    <row r="49639" spans="1:5" ht="16.5">
      <c r="A49639" s="649"/>
      <c r="B49639" s="649"/>
      <c r="E49639" s="649"/>
    </row>
    <row r="49640" spans="1:5" ht="16.5">
      <c r="A49640" s="649"/>
      <c r="B49640" s="649"/>
      <c r="E49640" s="649"/>
    </row>
    <row r="49641" spans="1:5" ht="16.5">
      <c r="A49641" s="649"/>
      <c r="B49641" s="649"/>
      <c r="E49641" s="649"/>
    </row>
    <row r="49642" spans="1:5" ht="16.5">
      <c r="A49642" s="649"/>
      <c r="B49642" s="649"/>
      <c r="E49642" s="649"/>
    </row>
    <row r="49643" spans="1:5" ht="16.5">
      <c r="A49643" s="649"/>
      <c r="B49643" s="649"/>
      <c r="E49643" s="649"/>
    </row>
    <row r="49644" spans="1:5" ht="16.5">
      <c r="A49644" s="649"/>
      <c r="B49644" s="649"/>
      <c r="E49644" s="649"/>
    </row>
    <row r="49645" spans="1:5" ht="16.5">
      <c r="A49645" s="649"/>
      <c r="B49645" s="649"/>
      <c r="E49645" s="649"/>
    </row>
    <row r="49646" spans="1:5" ht="16.5">
      <c r="A49646" s="649"/>
      <c r="B49646" s="649"/>
      <c r="E49646" s="649"/>
    </row>
    <row r="49647" spans="1:5" ht="16.5">
      <c r="A49647" s="649"/>
      <c r="B49647" s="649"/>
      <c r="E49647" s="649"/>
    </row>
    <row r="49648" spans="1:5" ht="16.5">
      <c r="A49648" s="649"/>
      <c r="B49648" s="649"/>
      <c r="E49648" s="649"/>
    </row>
    <row r="49649" spans="1:5" ht="16.5">
      <c r="A49649" s="649"/>
      <c r="B49649" s="649"/>
      <c r="E49649" s="649"/>
    </row>
    <row r="49650" spans="1:5" ht="16.5">
      <c r="A49650" s="649"/>
      <c r="B49650" s="649"/>
      <c r="E49650" s="649"/>
    </row>
    <row r="49651" spans="1:5" ht="16.5">
      <c r="A49651" s="649"/>
      <c r="B49651" s="649"/>
      <c r="E49651" s="649"/>
    </row>
    <row r="49652" spans="1:5" ht="16.5">
      <c r="A49652" s="649"/>
      <c r="B49652" s="649"/>
      <c r="E49652" s="649"/>
    </row>
    <row r="49653" spans="1:5" ht="16.5">
      <c r="A49653" s="649"/>
      <c r="B49653" s="649"/>
      <c r="E49653" s="649"/>
    </row>
    <row r="49654" spans="1:5" ht="16.5">
      <c r="A49654" s="649"/>
      <c r="B49654" s="649"/>
      <c r="E49654" s="649"/>
    </row>
    <row r="49655" spans="1:5" ht="16.5">
      <c r="A49655" s="649"/>
      <c r="B49655" s="649"/>
      <c r="E49655" s="649"/>
    </row>
    <row r="49656" spans="1:5" ht="16.5">
      <c r="A49656" s="649"/>
      <c r="B49656" s="649"/>
      <c r="E49656" s="649"/>
    </row>
    <row r="49657" spans="1:5" ht="16.5">
      <c r="A49657" s="649"/>
      <c r="B49657" s="649"/>
      <c r="E49657" s="649"/>
    </row>
    <row r="49658" spans="1:5" ht="16.5">
      <c r="A49658" s="649"/>
      <c r="B49658" s="649"/>
      <c r="E49658" s="649"/>
    </row>
    <row r="49659" spans="1:5" ht="16.5">
      <c r="A49659" s="649"/>
      <c r="B49659" s="649"/>
      <c r="E49659" s="649"/>
    </row>
    <row r="49660" spans="1:5" ht="16.5">
      <c r="A49660" s="649"/>
      <c r="B49660" s="649"/>
      <c r="E49660" s="649"/>
    </row>
    <row r="49661" spans="1:5" ht="16.5">
      <c r="A49661" s="649"/>
      <c r="B49661" s="649"/>
      <c r="E49661" s="649"/>
    </row>
    <row r="49662" spans="1:5" ht="16.5">
      <c r="A49662" s="649"/>
      <c r="B49662" s="649"/>
      <c r="E49662" s="649"/>
    </row>
    <row r="49663" spans="1:5" ht="16.5">
      <c r="A49663" s="649"/>
      <c r="B49663" s="649"/>
      <c r="E49663" s="649"/>
    </row>
    <row r="49664" spans="1:5" ht="16.5">
      <c r="A49664" s="649"/>
      <c r="B49664" s="649"/>
      <c r="E49664" s="649"/>
    </row>
    <row r="49665" spans="1:5" ht="16.5">
      <c r="A49665" s="649"/>
      <c r="B49665" s="649"/>
      <c r="E49665" s="649"/>
    </row>
    <row r="49666" spans="1:5" ht="16.5">
      <c r="A49666" s="649"/>
      <c r="B49666" s="649"/>
      <c r="E49666" s="649"/>
    </row>
    <row r="49667" spans="1:5" ht="16.5">
      <c r="A49667" s="649"/>
      <c r="B49667" s="649"/>
      <c r="E49667" s="649"/>
    </row>
    <row r="49668" spans="1:5" ht="16.5">
      <c r="A49668" s="649"/>
      <c r="B49668" s="649"/>
      <c r="E49668" s="649"/>
    </row>
    <row r="49669" spans="1:5" ht="16.5">
      <c r="A49669" s="649"/>
      <c r="B49669" s="649"/>
      <c r="E49669" s="649"/>
    </row>
    <row r="49670" spans="1:5" ht="16.5">
      <c r="A49670" s="649"/>
      <c r="B49670" s="649"/>
      <c r="E49670" s="649"/>
    </row>
    <row r="49671" spans="1:5" ht="16.5">
      <c r="A49671" s="649"/>
      <c r="B49671" s="649"/>
      <c r="E49671" s="649"/>
    </row>
    <row r="49672" spans="1:5" ht="16.5">
      <c r="A49672" s="649"/>
      <c r="B49672" s="649"/>
      <c r="E49672" s="649"/>
    </row>
    <row r="49673" spans="1:5" ht="16.5">
      <c r="A49673" s="649"/>
      <c r="B49673" s="649"/>
      <c r="E49673" s="649"/>
    </row>
    <row r="49674" spans="1:5" ht="16.5">
      <c r="A49674" s="649"/>
      <c r="B49674" s="649"/>
      <c r="E49674" s="649"/>
    </row>
    <row r="49675" spans="1:5" ht="16.5">
      <c r="A49675" s="649"/>
      <c r="B49675" s="649"/>
      <c r="E49675" s="649"/>
    </row>
    <row r="49676" spans="1:5" ht="16.5">
      <c r="A49676" s="649"/>
      <c r="B49676" s="649"/>
      <c r="E49676" s="649"/>
    </row>
    <row r="49677" spans="1:5" ht="16.5">
      <c r="A49677" s="649"/>
      <c r="B49677" s="649"/>
      <c r="E49677" s="649"/>
    </row>
    <row r="49678" spans="1:5" ht="16.5">
      <c r="A49678" s="649"/>
      <c r="B49678" s="649"/>
      <c r="E49678" s="649"/>
    </row>
    <row r="49679" spans="1:5" ht="16.5">
      <c r="A49679" s="649"/>
      <c r="B49679" s="649"/>
      <c r="E49679" s="649"/>
    </row>
    <row r="49680" spans="1:5" ht="16.5">
      <c r="A49680" s="649"/>
      <c r="B49680" s="649"/>
      <c r="E49680" s="649"/>
    </row>
    <row r="49681" spans="1:5" ht="16.5">
      <c r="A49681" s="649"/>
      <c r="B49681" s="649"/>
      <c r="E49681" s="649"/>
    </row>
    <row r="49682" spans="1:5" ht="16.5">
      <c r="A49682" s="649"/>
      <c r="B49682" s="649"/>
      <c r="E49682" s="649"/>
    </row>
    <row r="49683" spans="1:5" ht="16.5">
      <c r="A49683" s="649"/>
      <c r="B49683" s="649"/>
      <c r="E49683" s="649"/>
    </row>
    <row r="49684" spans="1:5" ht="16.5">
      <c r="A49684" s="649"/>
      <c r="B49684" s="649"/>
      <c r="E49684" s="649"/>
    </row>
    <row r="49685" spans="1:5" ht="16.5">
      <c r="A49685" s="649"/>
      <c r="B49685" s="649"/>
      <c r="E49685" s="649"/>
    </row>
    <row r="49686" spans="1:5" ht="16.5">
      <c r="A49686" s="649"/>
      <c r="B49686" s="649"/>
      <c r="E49686" s="649"/>
    </row>
    <row r="49687" spans="1:5" ht="16.5">
      <c r="A49687" s="649"/>
      <c r="B49687" s="649"/>
      <c r="E49687" s="649"/>
    </row>
    <row r="49688" spans="1:5" ht="16.5">
      <c r="A49688" s="649"/>
      <c r="B49688" s="649"/>
      <c r="E49688" s="649"/>
    </row>
    <row r="49689" spans="1:5" ht="16.5">
      <c r="A49689" s="649"/>
      <c r="B49689" s="649"/>
      <c r="E49689" s="649"/>
    </row>
    <row r="49690" spans="1:5" ht="16.5">
      <c r="A49690" s="649"/>
      <c r="B49690" s="649"/>
      <c r="E49690" s="649"/>
    </row>
    <row r="49691" spans="1:5" ht="16.5">
      <c r="A49691" s="649"/>
      <c r="B49691" s="649"/>
      <c r="E49691" s="649"/>
    </row>
    <row r="49692" spans="1:5" ht="16.5">
      <c r="A49692" s="649"/>
      <c r="B49692" s="649"/>
      <c r="E49692" s="649"/>
    </row>
    <row r="49693" spans="1:5" ht="16.5">
      <c r="A49693" s="649"/>
      <c r="B49693" s="649"/>
      <c r="E49693" s="649"/>
    </row>
    <row r="49694" spans="1:5" ht="16.5">
      <c r="A49694" s="649"/>
      <c r="B49694" s="649"/>
      <c r="E49694" s="649"/>
    </row>
    <row r="49695" spans="1:5" ht="16.5">
      <c r="A49695" s="649"/>
      <c r="B49695" s="649"/>
      <c r="E49695" s="649"/>
    </row>
    <row r="49696" spans="1:5" ht="16.5">
      <c r="A49696" s="649"/>
      <c r="B49696" s="649"/>
      <c r="E49696" s="649"/>
    </row>
    <row r="49697" spans="1:5" ht="16.5">
      <c r="A49697" s="649"/>
      <c r="B49697" s="649"/>
      <c r="E49697" s="649"/>
    </row>
    <row r="49698" spans="1:5" ht="16.5">
      <c r="A49698" s="649"/>
      <c r="B49698" s="649"/>
      <c r="E49698" s="649"/>
    </row>
    <row r="49699" spans="1:5" ht="16.5">
      <c r="A49699" s="649"/>
      <c r="B49699" s="649"/>
      <c r="E49699" s="649"/>
    </row>
    <row r="49700" spans="1:5" ht="16.5">
      <c r="A49700" s="649"/>
      <c r="B49700" s="649"/>
      <c r="E49700" s="649"/>
    </row>
    <row r="49701" spans="1:5" ht="16.5">
      <c r="A49701" s="649"/>
      <c r="B49701" s="649"/>
      <c r="E49701" s="649"/>
    </row>
    <row r="49702" spans="1:5" ht="16.5">
      <c r="A49702" s="649"/>
      <c r="B49702" s="649"/>
      <c r="E49702" s="649"/>
    </row>
    <row r="49703" spans="1:5" ht="16.5">
      <c r="A49703" s="649"/>
      <c r="B49703" s="649"/>
      <c r="E49703" s="649"/>
    </row>
    <row r="49704" spans="1:5" ht="16.5">
      <c r="A49704" s="649"/>
      <c r="B49704" s="649"/>
      <c r="E49704" s="649"/>
    </row>
    <row r="49705" spans="1:5" ht="16.5">
      <c r="A49705" s="649"/>
      <c r="B49705" s="649"/>
      <c r="E49705" s="649"/>
    </row>
    <row r="49706" spans="1:5" ht="16.5">
      <c r="A49706" s="649"/>
      <c r="B49706" s="649"/>
      <c r="E49706" s="649"/>
    </row>
    <row r="49707" spans="1:5" ht="16.5">
      <c r="A49707" s="649"/>
      <c r="B49707" s="649"/>
      <c r="E49707" s="649"/>
    </row>
    <row r="49708" spans="1:5" ht="16.5">
      <c r="A49708" s="649"/>
      <c r="B49708" s="649"/>
      <c r="E49708" s="649"/>
    </row>
    <row r="49709" spans="1:5" ht="16.5">
      <c r="A49709" s="649"/>
      <c r="B49709" s="649"/>
      <c r="E49709" s="649"/>
    </row>
    <row r="49710" spans="1:5" ht="16.5">
      <c r="A49710" s="649"/>
      <c r="B49710" s="649"/>
      <c r="E49710" s="649"/>
    </row>
    <row r="49711" spans="1:5" ht="16.5">
      <c r="A49711" s="649"/>
      <c r="B49711" s="649"/>
      <c r="E49711" s="649"/>
    </row>
    <row r="49712" spans="1:5" ht="16.5">
      <c r="A49712" s="649"/>
      <c r="B49712" s="649"/>
      <c r="E49712" s="649"/>
    </row>
    <row r="49713" spans="1:5" ht="16.5">
      <c r="A49713" s="649"/>
      <c r="B49713" s="649"/>
      <c r="E49713" s="649"/>
    </row>
    <row r="49714" spans="1:5" ht="16.5">
      <c r="A49714" s="649"/>
      <c r="B49714" s="649"/>
      <c r="E49714" s="649"/>
    </row>
    <row r="49715" spans="1:5" ht="16.5">
      <c r="A49715" s="649"/>
      <c r="B49715" s="649"/>
      <c r="E49715" s="649"/>
    </row>
    <row r="49716" spans="1:5" ht="16.5">
      <c r="A49716" s="649"/>
      <c r="B49716" s="649"/>
      <c r="E49716" s="649"/>
    </row>
    <row r="49717" spans="1:5" ht="16.5">
      <c r="A49717" s="649"/>
      <c r="B49717" s="649"/>
      <c r="E49717" s="649"/>
    </row>
    <row r="49718" spans="1:5" ht="16.5">
      <c r="A49718" s="649"/>
      <c r="B49718" s="649"/>
      <c r="E49718" s="649"/>
    </row>
    <row r="49719" spans="1:5" ht="16.5">
      <c r="A49719" s="649"/>
      <c r="B49719" s="649"/>
      <c r="E49719" s="649"/>
    </row>
    <row r="49720" spans="1:5" ht="16.5">
      <c r="A49720" s="649"/>
      <c r="B49720" s="649"/>
      <c r="E49720" s="649"/>
    </row>
    <row r="49721" spans="1:5" ht="16.5">
      <c r="A49721" s="649"/>
      <c r="B49721" s="649"/>
      <c r="E49721" s="649"/>
    </row>
    <row r="49722" spans="1:5" ht="16.5">
      <c r="A49722" s="649"/>
      <c r="B49722" s="649"/>
      <c r="E49722" s="649"/>
    </row>
  </sheetData>
  <sheetProtection/>
  <mergeCells count="38">
    <mergeCell ref="A2:E2"/>
    <mergeCell ref="G2:K2"/>
    <mergeCell ref="M2:Q2"/>
    <mergeCell ref="S2:W2"/>
    <mergeCell ref="Y2:AC2"/>
    <mergeCell ref="AE2:AI2"/>
    <mergeCell ref="AK2:AO2"/>
    <mergeCell ref="AQ2:AU2"/>
    <mergeCell ref="AW2:BA2"/>
    <mergeCell ref="BC2:BG2"/>
    <mergeCell ref="BI2:BM2"/>
    <mergeCell ref="BO2:BS2"/>
    <mergeCell ref="A4:B4"/>
    <mergeCell ref="G4:H4"/>
    <mergeCell ref="M4:N4"/>
    <mergeCell ref="S4:T4"/>
    <mergeCell ref="Y4:Z4"/>
    <mergeCell ref="AE4:AF4"/>
    <mergeCell ref="AK4:AL4"/>
    <mergeCell ref="AQ4:AR4"/>
    <mergeCell ref="AW4:AX4"/>
    <mergeCell ref="BC4:BD4"/>
    <mergeCell ref="BI4:BJ4"/>
    <mergeCell ref="BO4:BP4"/>
    <mergeCell ref="A39:E39"/>
    <mergeCell ref="G39:K39"/>
    <mergeCell ref="M39:Q39"/>
    <mergeCell ref="S39:W39"/>
    <mergeCell ref="M40:N40"/>
    <mergeCell ref="S40:T40"/>
    <mergeCell ref="BI40:BJ40"/>
    <mergeCell ref="BO40:BP40"/>
    <mergeCell ref="Y40:Z40"/>
    <mergeCell ref="AE40:AF40"/>
    <mergeCell ref="AK40:AL40"/>
    <mergeCell ref="AQ40:AR40"/>
    <mergeCell ref="AW40:AX40"/>
    <mergeCell ref="BC40:BD40"/>
  </mergeCells>
  <printOptions/>
  <pageMargins left="0.35433070866141736" right="0.2362204724409449" top="0.5118110236220472" bottom="0.4330708661417323" header="0.31496062992125984" footer="0.2755905511811024"/>
  <pageSetup horizontalDpi="600" verticalDpi="600" orientation="portrait" paperSize="9" scale="78" r:id="rId3"/>
  <rowBreaks count="1" manualBreakCount="1">
    <brk id="3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3.140625" style="0" bestFit="1" customWidth="1"/>
    <col min="3" max="3" width="11.421875" style="0" bestFit="1" customWidth="1"/>
  </cols>
  <sheetData>
    <row r="1" spans="1:2" ht="14.25">
      <c r="A1" s="626">
        <f>1516800+252800+252800+183200+673600</f>
        <v>2879200</v>
      </c>
      <c r="B1" t="s">
        <v>675</v>
      </c>
    </row>
    <row r="2" spans="1:2" ht="14.25">
      <c r="A2" s="626">
        <f>316000+117500+40000+2000+34500+116000+3000+186600+158000+530500+248800+246400+252000+245600+245600+240800</f>
        <v>2983300</v>
      </c>
      <c r="B2" t="s">
        <v>676</v>
      </c>
    </row>
    <row r="3" spans="1:2" ht="14.25">
      <c r="A3" s="626">
        <v>5600</v>
      </c>
      <c r="B3" t="s">
        <v>947</v>
      </c>
    </row>
    <row r="4" spans="1:3" ht="14.25">
      <c r="A4" s="627">
        <f>+A1-A2+A3</f>
        <v>-98500</v>
      </c>
      <c r="C4" s="610">
        <f>+A1+A3-A2</f>
        <v>-98500</v>
      </c>
    </row>
    <row r="5" ht="14.25">
      <c r="A5" s="626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E73"/>
  <sheetViews>
    <sheetView zoomScaleSheetLayoutView="100" zoomScalePageLayoutView="0" workbookViewId="0" topLeftCell="A52">
      <selection activeCell="C66" sqref="C66"/>
    </sheetView>
  </sheetViews>
  <sheetFormatPr defaultColWidth="9.140625" defaultRowHeight="21" customHeight="1"/>
  <cols>
    <col min="1" max="1" width="49.7109375" style="50" customWidth="1"/>
    <col min="2" max="2" width="7.57421875" style="50" customWidth="1"/>
    <col min="3" max="3" width="16.140625" style="64" customWidth="1"/>
    <col min="4" max="4" width="15.7109375" style="64" customWidth="1"/>
    <col min="5" max="5" width="15.421875" style="414" hidden="1" customWidth="1"/>
    <col min="6" max="6" width="15.421875" style="417" bestFit="1" customWidth="1"/>
    <col min="7" max="8" width="15.421875" style="414" bestFit="1" customWidth="1"/>
    <col min="9" max="16384" width="9.00390625" style="50" customWidth="1"/>
  </cols>
  <sheetData>
    <row r="2" spans="1:4" ht="21" customHeight="1">
      <c r="A2" s="751" t="s">
        <v>30</v>
      </c>
      <c r="B2" s="751"/>
      <c r="C2" s="751"/>
      <c r="D2" s="751"/>
    </row>
    <row r="3" spans="1:4" ht="21" customHeight="1">
      <c r="A3" s="751" t="s">
        <v>948</v>
      </c>
      <c r="B3" s="751"/>
      <c r="C3" s="751"/>
      <c r="D3" s="751"/>
    </row>
    <row r="4" spans="1:4" ht="21" customHeight="1">
      <c r="A4" s="751" t="s">
        <v>937</v>
      </c>
      <c r="B4" s="751"/>
      <c r="C4" s="751"/>
      <c r="D4" s="751"/>
    </row>
    <row r="5" spans="1:4" ht="21" customHeight="1">
      <c r="A5" s="418" t="s">
        <v>32</v>
      </c>
      <c r="B5" s="418" t="s">
        <v>83</v>
      </c>
      <c r="C5" s="419" t="s">
        <v>84</v>
      </c>
      <c r="D5" s="419" t="s">
        <v>85</v>
      </c>
    </row>
    <row r="6" spans="1:4" ht="21" customHeight="1">
      <c r="A6" s="420" t="s">
        <v>86</v>
      </c>
      <c r="B6" s="421" t="s">
        <v>87</v>
      </c>
      <c r="C6" s="603">
        <v>5100</v>
      </c>
      <c r="D6" s="423"/>
    </row>
    <row r="7" spans="1:4" ht="21" customHeight="1">
      <c r="A7" s="420" t="s">
        <v>923</v>
      </c>
      <c r="B7" s="421" t="s">
        <v>89</v>
      </c>
      <c r="C7" s="603">
        <v>5292903.38</v>
      </c>
      <c r="D7" s="423"/>
    </row>
    <row r="8" spans="1:4" ht="21" customHeight="1" hidden="1">
      <c r="A8" s="420" t="s">
        <v>895</v>
      </c>
      <c r="B8" s="421" t="s">
        <v>89</v>
      </c>
      <c r="C8" s="603"/>
      <c r="D8" s="423"/>
    </row>
    <row r="9" spans="1:4" ht="21" customHeight="1">
      <c r="A9" s="420" t="s">
        <v>894</v>
      </c>
      <c r="B9" s="421" t="s">
        <v>89</v>
      </c>
      <c r="C9" s="604">
        <v>2578350.77</v>
      </c>
      <c r="D9" s="423"/>
    </row>
    <row r="10" spans="1:4" ht="21" customHeight="1">
      <c r="A10" s="420" t="s">
        <v>896</v>
      </c>
      <c r="B10" s="421" t="s">
        <v>89</v>
      </c>
      <c r="C10" s="422">
        <v>7804.66</v>
      </c>
      <c r="D10" s="423"/>
    </row>
    <row r="11" spans="1:4" ht="21" customHeight="1">
      <c r="A11" s="420" t="s">
        <v>897</v>
      </c>
      <c r="B11" s="421" t="s">
        <v>89</v>
      </c>
      <c r="C11" s="603">
        <v>11428355.93</v>
      </c>
      <c r="D11" s="423"/>
    </row>
    <row r="12" spans="1:4" ht="21" customHeight="1">
      <c r="A12" s="420" t="s">
        <v>898</v>
      </c>
      <c r="B12" s="421" t="s">
        <v>89</v>
      </c>
      <c r="C12" s="603">
        <v>1612.14</v>
      </c>
      <c r="D12" s="423"/>
    </row>
    <row r="13" spans="1:4" ht="21" customHeight="1">
      <c r="A13" s="420" t="s">
        <v>899</v>
      </c>
      <c r="B13" s="421" t="s">
        <v>89</v>
      </c>
      <c r="C13" s="603">
        <v>16163319.15</v>
      </c>
      <c r="D13" s="423"/>
    </row>
    <row r="14" spans="1:4" ht="21" customHeight="1">
      <c r="A14" s="420" t="s">
        <v>96</v>
      </c>
      <c r="B14" s="424">
        <v>701</v>
      </c>
      <c r="C14" s="603">
        <v>1681293.82</v>
      </c>
      <c r="D14" s="423"/>
    </row>
    <row r="15" spans="1:4" ht="21" customHeight="1" hidden="1">
      <c r="A15" s="420" t="s">
        <v>875</v>
      </c>
      <c r="B15" s="424" t="s">
        <v>98</v>
      </c>
      <c r="C15" s="603"/>
      <c r="D15" s="423"/>
    </row>
    <row r="16" spans="1:4" ht="21" customHeight="1">
      <c r="A16" s="420" t="s">
        <v>99</v>
      </c>
      <c r="B16" s="597">
        <v>707</v>
      </c>
      <c r="C16" s="603">
        <v>42344</v>
      </c>
      <c r="D16" s="423"/>
    </row>
    <row r="17" spans="1:4" ht="21" customHeight="1">
      <c r="A17" s="420" t="s">
        <v>672</v>
      </c>
      <c r="B17" s="425" t="s">
        <v>673</v>
      </c>
      <c r="C17" s="422">
        <v>167970</v>
      </c>
      <c r="D17" s="423"/>
    </row>
    <row r="18" spans="1:4" ht="21" customHeight="1" hidden="1">
      <c r="A18" s="420" t="s">
        <v>100</v>
      </c>
      <c r="B18" s="421" t="s">
        <v>101</v>
      </c>
      <c r="C18" s="604"/>
      <c r="D18" s="423"/>
    </row>
    <row r="19" spans="1:4" ht="21" customHeight="1">
      <c r="A19" s="420" t="s">
        <v>924</v>
      </c>
      <c r="B19" s="421"/>
      <c r="C19" s="422">
        <v>167970</v>
      </c>
      <c r="D19" s="423"/>
    </row>
    <row r="20" spans="1:4" ht="21" customHeight="1">
      <c r="A20" s="420" t="s">
        <v>73</v>
      </c>
      <c r="B20" s="424">
        <v>100</v>
      </c>
      <c r="C20" s="604">
        <v>9240568.11</v>
      </c>
      <c r="D20" s="423"/>
    </row>
    <row r="21" spans="1:4" ht="21" customHeight="1">
      <c r="A21" s="420" t="s">
        <v>46</v>
      </c>
      <c r="B21" s="424">
        <v>120</v>
      </c>
      <c r="C21" s="603">
        <v>219300</v>
      </c>
      <c r="D21" s="423"/>
    </row>
    <row r="22" spans="1:4" ht="21" customHeight="1">
      <c r="A22" s="420" t="s">
        <v>74</v>
      </c>
      <c r="B22" s="424">
        <v>130</v>
      </c>
      <c r="C22" s="603">
        <v>4463544.25</v>
      </c>
      <c r="D22" s="423"/>
    </row>
    <row r="23" spans="1:4" ht="21" customHeight="1">
      <c r="A23" s="420" t="s">
        <v>75</v>
      </c>
      <c r="B23" s="424">
        <v>200</v>
      </c>
      <c r="C23" s="603">
        <v>1170242</v>
      </c>
      <c r="D23" s="423"/>
    </row>
    <row r="24" spans="1:4" ht="21" customHeight="1">
      <c r="A24" s="420" t="s">
        <v>76</v>
      </c>
      <c r="B24" s="424">
        <v>250</v>
      </c>
      <c r="C24" s="603">
        <v>4585842.48</v>
      </c>
      <c r="D24" s="423"/>
    </row>
    <row r="25" spans="1:4" ht="21" customHeight="1">
      <c r="A25" s="420" t="s">
        <v>77</v>
      </c>
      <c r="B25" s="424">
        <v>270</v>
      </c>
      <c r="C25" s="603">
        <v>3807442.92</v>
      </c>
      <c r="D25" s="423"/>
    </row>
    <row r="26" spans="1:4" ht="21" customHeight="1">
      <c r="A26" s="420" t="s">
        <v>51</v>
      </c>
      <c r="B26" s="424">
        <v>300</v>
      </c>
      <c r="C26" s="603">
        <v>333889.52</v>
      </c>
      <c r="D26" s="423"/>
    </row>
    <row r="27" spans="1:4" ht="21" customHeight="1">
      <c r="A27" s="420" t="s">
        <v>54</v>
      </c>
      <c r="B27" s="424">
        <v>450</v>
      </c>
      <c r="C27" s="603">
        <f>3030210+361000</f>
        <v>3391210</v>
      </c>
      <c r="D27" s="423"/>
    </row>
    <row r="28" spans="1:4" ht="21" customHeight="1">
      <c r="A28" s="420" t="s">
        <v>55</v>
      </c>
      <c r="B28" s="424">
        <v>500</v>
      </c>
      <c r="C28" s="603">
        <f>10565681.38-361000</f>
        <v>10204681.38</v>
      </c>
      <c r="D28" s="423"/>
    </row>
    <row r="29" spans="1:4" ht="21" customHeight="1">
      <c r="A29" s="420" t="s">
        <v>2</v>
      </c>
      <c r="B29" s="426" t="s">
        <v>102</v>
      </c>
      <c r="C29" s="603">
        <v>16293756</v>
      </c>
      <c r="D29" s="423"/>
    </row>
    <row r="30" spans="1:4" ht="21" customHeight="1">
      <c r="A30" s="420" t="s">
        <v>52</v>
      </c>
      <c r="B30" s="424">
        <v>400</v>
      </c>
      <c r="C30" s="603">
        <v>4562253.529999999</v>
      </c>
      <c r="D30" s="423"/>
    </row>
    <row r="31" spans="1:5" ht="21" customHeight="1">
      <c r="A31" s="420" t="s">
        <v>78</v>
      </c>
      <c r="B31" s="424"/>
      <c r="C31" s="603">
        <v>1229373.78</v>
      </c>
      <c r="D31" s="423"/>
      <c r="E31" s="416">
        <f>SUM(C20:C31)</f>
        <v>59502103.97</v>
      </c>
    </row>
    <row r="32" spans="1:4" ht="21" customHeight="1">
      <c r="A32" s="420" t="s">
        <v>932</v>
      </c>
      <c r="B32" s="424"/>
      <c r="C32" s="422"/>
      <c r="D32" s="422">
        <v>167970</v>
      </c>
    </row>
    <row r="33" spans="1:4" ht="21" customHeight="1">
      <c r="A33" s="420" t="s">
        <v>103</v>
      </c>
      <c r="B33" s="424">
        <v>821</v>
      </c>
      <c r="C33" s="422"/>
      <c r="D33" s="605">
        <f>30266310.12+1400+10666740.19+4763600.42+5391779.03+4068675.53+5951609.82+3286730.82+3023435.65-647000-68100-300</f>
        <v>66704881.58000001</v>
      </c>
    </row>
    <row r="34" spans="1:4" ht="21" customHeight="1">
      <c r="A34" s="420" t="s">
        <v>104</v>
      </c>
      <c r="B34" s="424">
        <v>900</v>
      </c>
      <c r="C34" s="422"/>
      <c r="D34" s="605">
        <v>1202638.35</v>
      </c>
    </row>
    <row r="35" spans="1:4" ht="21" customHeight="1" hidden="1">
      <c r="A35" s="420" t="s">
        <v>105</v>
      </c>
      <c r="B35" s="424"/>
      <c r="C35" s="421"/>
      <c r="D35" s="423" t="s">
        <v>29</v>
      </c>
    </row>
    <row r="36" spans="1:4" ht="21" customHeight="1">
      <c r="A36" s="420" t="s">
        <v>106</v>
      </c>
      <c r="B36" s="424">
        <v>600</v>
      </c>
      <c r="C36" s="421"/>
      <c r="D36" s="423">
        <v>2123200</v>
      </c>
    </row>
    <row r="37" spans="1:4" ht="21" customHeight="1">
      <c r="A37" s="420" t="s">
        <v>107</v>
      </c>
      <c r="B37" s="424">
        <v>700</v>
      </c>
      <c r="C37" s="421"/>
      <c r="D37" s="605">
        <v>9899595.03</v>
      </c>
    </row>
    <row r="38" spans="1:4" ht="21" customHeight="1">
      <c r="A38" s="420" t="s">
        <v>108</v>
      </c>
      <c r="B38" s="424" t="s">
        <v>900</v>
      </c>
      <c r="C38" s="421"/>
      <c r="D38" s="605">
        <v>15305505.59</v>
      </c>
    </row>
    <row r="39" spans="1:4" ht="21" customHeight="1" hidden="1">
      <c r="A39" s="420" t="s">
        <v>109</v>
      </c>
      <c r="B39" s="424" t="s">
        <v>671</v>
      </c>
      <c r="C39" s="421"/>
      <c r="D39" s="605"/>
    </row>
    <row r="40" spans="1:4" ht="21" customHeight="1">
      <c r="A40" s="420" t="s">
        <v>919</v>
      </c>
      <c r="B40" s="424" t="s">
        <v>89</v>
      </c>
      <c r="C40" s="421"/>
      <c r="D40" s="605">
        <f>+C12+C16</f>
        <v>43956.14</v>
      </c>
    </row>
    <row r="41" spans="1:4" ht="21" customHeight="1">
      <c r="A41" s="420" t="s">
        <v>140</v>
      </c>
      <c r="B41" s="424"/>
      <c r="C41" s="421"/>
      <c r="D41" s="423">
        <f>809006+67275.13</f>
        <v>876281.13</v>
      </c>
    </row>
    <row r="42" spans="1:4" ht="21" customHeight="1">
      <c r="A42" s="420" t="s">
        <v>945</v>
      </c>
      <c r="B42" s="424"/>
      <c r="C42" s="421"/>
      <c r="D42" s="423">
        <f>647000+68100</f>
        <v>715100</v>
      </c>
    </row>
    <row r="43" spans="1:5" ht="21" customHeight="1">
      <c r="A43" s="427"/>
      <c r="B43" s="427"/>
      <c r="C43" s="613">
        <f>SUM(C6:C42)</f>
        <v>97039127.82000001</v>
      </c>
      <c r="D43" s="613">
        <f>SUM(D6:D42)</f>
        <v>97039127.82000001</v>
      </c>
      <c r="E43" s="416">
        <f>+D43-C43</f>
        <v>0</v>
      </c>
    </row>
    <row r="45" spans="1:4" ht="21" customHeight="1">
      <c r="A45" s="751" t="s">
        <v>30</v>
      </c>
      <c r="B45" s="751"/>
      <c r="C45" s="751"/>
      <c r="D45" s="751"/>
    </row>
    <row r="46" spans="1:4" ht="21" customHeight="1">
      <c r="A46" s="751" t="s">
        <v>949</v>
      </c>
      <c r="B46" s="751"/>
      <c r="C46" s="751"/>
      <c r="D46" s="751"/>
    </row>
    <row r="47" spans="1:4" ht="21" customHeight="1">
      <c r="A47" s="751" t="s">
        <v>937</v>
      </c>
      <c r="B47" s="751"/>
      <c r="C47" s="751"/>
      <c r="D47" s="751"/>
    </row>
    <row r="48" spans="1:4" ht="21" customHeight="1">
      <c r="A48" s="418" t="s">
        <v>32</v>
      </c>
      <c r="B48" s="418" t="s">
        <v>83</v>
      </c>
      <c r="C48" s="419" t="s">
        <v>84</v>
      </c>
      <c r="D48" s="419" t="s">
        <v>85</v>
      </c>
    </row>
    <row r="49" spans="1:4" ht="21" customHeight="1">
      <c r="A49" s="420" t="s">
        <v>86</v>
      </c>
      <c r="B49" s="421" t="s">
        <v>87</v>
      </c>
      <c r="C49" s="422">
        <v>5100</v>
      </c>
      <c r="D49" s="423"/>
    </row>
    <row r="50" spans="1:4" ht="21" customHeight="1">
      <c r="A50" s="420" t="s">
        <v>923</v>
      </c>
      <c r="B50" s="421" t="s">
        <v>89</v>
      </c>
      <c r="C50" s="422">
        <v>5292903.38</v>
      </c>
      <c r="D50" s="423"/>
    </row>
    <row r="51" spans="1:4" ht="21" customHeight="1">
      <c r="A51" s="420" t="s">
        <v>895</v>
      </c>
      <c r="B51" s="421" t="s">
        <v>89</v>
      </c>
      <c r="C51" s="422"/>
      <c r="D51" s="423"/>
    </row>
    <row r="52" spans="1:4" ht="21" customHeight="1">
      <c r="A52" s="420" t="s">
        <v>894</v>
      </c>
      <c r="B52" s="421" t="s">
        <v>89</v>
      </c>
      <c r="C52" s="421">
        <v>2578350.77</v>
      </c>
      <c r="D52" s="423"/>
    </row>
    <row r="53" spans="1:4" ht="21" customHeight="1">
      <c r="A53" s="420" t="s">
        <v>896</v>
      </c>
      <c r="B53" s="421" t="s">
        <v>89</v>
      </c>
      <c r="C53" s="422">
        <v>7804.66</v>
      </c>
      <c r="D53" s="423"/>
    </row>
    <row r="54" spans="1:4" ht="21" customHeight="1">
      <c r="A54" s="420" t="s">
        <v>897</v>
      </c>
      <c r="B54" s="421" t="s">
        <v>89</v>
      </c>
      <c r="C54" s="422">
        <v>11428355.93</v>
      </c>
      <c r="D54" s="423"/>
    </row>
    <row r="55" spans="1:4" ht="21" customHeight="1">
      <c r="A55" s="420" t="s">
        <v>898</v>
      </c>
      <c r="B55" s="421" t="s">
        <v>89</v>
      </c>
      <c r="C55" s="422">
        <v>1612.14</v>
      </c>
      <c r="D55" s="423"/>
    </row>
    <row r="56" spans="1:5" ht="21" customHeight="1">
      <c r="A56" s="420" t="s">
        <v>899</v>
      </c>
      <c r="B56" s="421" t="s">
        <v>89</v>
      </c>
      <c r="C56" s="422">
        <v>16163319.15</v>
      </c>
      <c r="D56" s="423"/>
      <c r="E56" s="416">
        <f>SUM(C49:C56)</f>
        <v>35477446.03</v>
      </c>
    </row>
    <row r="57" spans="1:4" ht="21" customHeight="1">
      <c r="A57" s="420" t="s">
        <v>96</v>
      </c>
      <c r="B57" s="424">
        <v>701</v>
      </c>
      <c r="C57" s="422">
        <v>1681293.82</v>
      </c>
      <c r="D57" s="423"/>
    </row>
    <row r="58" spans="1:4" ht="21" customHeight="1">
      <c r="A58" s="420" t="s">
        <v>875</v>
      </c>
      <c r="B58" s="424" t="s">
        <v>98</v>
      </c>
      <c r="C58" s="422"/>
      <c r="D58" s="423"/>
    </row>
    <row r="59" spans="1:4" ht="21" customHeight="1">
      <c r="A59" s="420" t="s">
        <v>99</v>
      </c>
      <c r="B59" s="597">
        <v>707</v>
      </c>
      <c r="C59" s="422">
        <v>42344</v>
      </c>
      <c r="D59" s="423"/>
    </row>
    <row r="60" spans="1:4" ht="21" customHeight="1">
      <c r="A60" s="420" t="s">
        <v>672</v>
      </c>
      <c r="B60" s="425" t="s">
        <v>673</v>
      </c>
      <c r="C60" s="422">
        <v>167970</v>
      </c>
      <c r="D60" s="423"/>
    </row>
    <row r="61" spans="1:4" ht="21" customHeight="1">
      <c r="A61" s="420" t="s">
        <v>100</v>
      </c>
      <c r="B61" s="421" t="s">
        <v>101</v>
      </c>
      <c r="C61" s="421"/>
      <c r="D61" s="423"/>
    </row>
    <row r="62" spans="1:4" ht="21" customHeight="1">
      <c r="A62" s="420" t="s">
        <v>924</v>
      </c>
      <c r="B62" s="421"/>
      <c r="C62" s="422">
        <v>167970</v>
      </c>
      <c r="D62" s="423"/>
    </row>
    <row r="63" spans="1:4" ht="21" customHeight="1">
      <c r="A63" s="420" t="s">
        <v>932</v>
      </c>
      <c r="B63" s="424"/>
      <c r="C63" s="422"/>
      <c r="D63" s="422">
        <v>167970</v>
      </c>
    </row>
    <row r="64" spans="1:4" ht="21" customHeight="1">
      <c r="A64" s="420" t="s">
        <v>104</v>
      </c>
      <c r="B64" s="424">
        <v>900</v>
      </c>
      <c r="C64" s="422"/>
      <c r="D64" s="423">
        <v>1202638.35</v>
      </c>
    </row>
    <row r="65" spans="1:4" ht="21" customHeight="1">
      <c r="A65" s="420" t="s">
        <v>105</v>
      </c>
      <c r="B65" s="424"/>
      <c r="C65" s="421"/>
      <c r="D65" s="423" t="s">
        <v>29</v>
      </c>
    </row>
    <row r="66" spans="1:4" ht="21" customHeight="1">
      <c r="A66" s="420" t="s">
        <v>106</v>
      </c>
      <c r="B66" s="424">
        <v>600</v>
      </c>
      <c r="C66" s="421"/>
      <c r="D66" s="423">
        <v>2123200</v>
      </c>
    </row>
    <row r="67" spans="1:5" ht="21" customHeight="1">
      <c r="A67" s="420" t="s">
        <v>107</v>
      </c>
      <c r="B67" s="424">
        <v>700</v>
      </c>
      <c r="C67" s="421"/>
      <c r="D67" s="423">
        <f>9899595.03+5402083.21</f>
        <v>15301678.239999998</v>
      </c>
      <c r="E67" s="416">
        <f>+D37+5402083.21</f>
        <v>15301678.239999998</v>
      </c>
    </row>
    <row r="68" spans="1:5" ht="21" customHeight="1">
      <c r="A68" s="420" t="s">
        <v>108</v>
      </c>
      <c r="B68" s="424" t="s">
        <v>900</v>
      </c>
      <c r="C68" s="421"/>
      <c r="D68" s="423">
        <f>15305505.59+1800694.4</f>
        <v>17106199.99</v>
      </c>
      <c r="E68" s="416">
        <f>1800694.4+D38</f>
        <v>17106199.99</v>
      </c>
    </row>
    <row r="69" spans="1:4" ht="21" customHeight="1">
      <c r="A69" s="420" t="s">
        <v>109</v>
      </c>
      <c r="B69" s="424" t="s">
        <v>671</v>
      </c>
      <c r="C69" s="421"/>
      <c r="D69" s="423"/>
    </row>
    <row r="70" spans="1:4" ht="21" customHeight="1">
      <c r="A70" s="420" t="s">
        <v>919</v>
      </c>
      <c r="B70" s="424" t="s">
        <v>89</v>
      </c>
      <c r="C70" s="421"/>
      <c r="D70" s="423">
        <v>43956.14</v>
      </c>
    </row>
    <row r="71" spans="1:4" ht="21" customHeight="1">
      <c r="A71" s="420" t="s">
        <v>140</v>
      </c>
      <c r="B71" s="424"/>
      <c r="C71" s="421"/>
      <c r="D71" s="423">
        <v>876281.13</v>
      </c>
    </row>
    <row r="72" spans="1:4" ht="21" customHeight="1">
      <c r="A72" s="420" t="s">
        <v>945</v>
      </c>
      <c r="B72" s="424"/>
      <c r="C72" s="421"/>
      <c r="D72" s="423">
        <v>715100</v>
      </c>
    </row>
    <row r="73" spans="1:5" ht="21" customHeight="1">
      <c r="A73" s="427"/>
      <c r="B73" s="427"/>
      <c r="C73" s="613">
        <f>SUM(C49:C72)</f>
        <v>37537023.85</v>
      </c>
      <c r="D73" s="613">
        <f>SUM(D49:D72)</f>
        <v>37537023.85</v>
      </c>
      <c r="E73" s="416">
        <f>+D73-C73</f>
        <v>0</v>
      </c>
    </row>
  </sheetData>
  <sheetProtection/>
  <mergeCells count="6">
    <mergeCell ref="A2:D2"/>
    <mergeCell ref="A3:D3"/>
    <mergeCell ref="A4:D4"/>
    <mergeCell ref="A45:D45"/>
    <mergeCell ref="A46:D46"/>
    <mergeCell ref="A47:D47"/>
  </mergeCells>
  <printOptions horizontalCentered="1"/>
  <pageMargins left="0.4724409448818898" right="0.1968503937007874" top="0.15748031496062992" bottom="0.1968503937007874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7"/>
  <sheetViews>
    <sheetView zoomScaleSheetLayoutView="100" zoomScalePageLayoutView="0" workbookViewId="0" topLeftCell="A195">
      <selection activeCell="C217" sqref="C217"/>
    </sheetView>
  </sheetViews>
  <sheetFormatPr defaultColWidth="9.140625" defaultRowHeight="21" customHeight="1"/>
  <cols>
    <col min="1" max="1" width="49.7109375" style="50" customWidth="1"/>
    <col min="2" max="2" width="7.57421875" style="50" customWidth="1"/>
    <col min="3" max="3" width="16.140625" style="64" customWidth="1"/>
    <col min="4" max="4" width="15.7109375" style="64" customWidth="1"/>
    <col min="5" max="5" width="15.421875" style="414" customWidth="1"/>
    <col min="6" max="6" width="15.421875" style="417" bestFit="1" customWidth="1"/>
    <col min="7" max="8" width="14.421875" style="414" bestFit="1" customWidth="1"/>
    <col min="9" max="16384" width="9.00390625" style="50" customWidth="1"/>
  </cols>
  <sheetData>
    <row r="1" spans="1:4" ht="21" customHeight="1">
      <c r="A1" s="750" t="s">
        <v>30</v>
      </c>
      <c r="B1" s="750"/>
      <c r="C1" s="750"/>
      <c r="D1" s="750"/>
    </row>
    <row r="2" spans="1:4" ht="21" customHeight="1">
      <c r="A2" s="750" t="s">
        <v>669</v>
      </c>
      <c r="B2" s="750"/>
      <c r="C2" s="750"/>
      <c r="D2" s="750"/>
    </row>
    <row r="3" spans="1:4" ht="21" customHeight="1">
      <c r="A3" s="750" t="s">
        <v>732</v>
      </c>
      <c r="B3" s="750"/>
      <c r="C3" s="750"/>
      <c r="D3" s="750"/>
    </row>
    <row r="4" spans="1:4" ht="21" customHeight="1">
      <c r="A4" s="51" t="s">
        <v>32</v>
      </c>
      <c r="B4" s="51" t="s">
        <v>83</v>
      </c>
      <c r="C4" s="52" t="s">
        <v>84</v>
      </c>
      <c r="D4" s="52" t="s">
        <v>85</v>
      </c>
    </row>
    <row r="5" spans="1:4" ht="21" customHeight="1">
      <c r="A5" s="53" t="s">
        <v>86</v>
      </c>
      <c r="B5" s="54" t="s">
        <v>87</v>
      </c>
      <c r="C5" s="55">
        <v>0</v>
      </c>
      <c r="D5" s="56">
        <v>0</v>
      </c>
    </row>
    <row r="6" spans="1:4" ht="21" customHeight="1">
      <c r="A6" s="53" t="s">
        <v>88</v>
      </c>
      <c r="B6" s="54" t="s">
        <v>89</v>
      </c>
      <c r="C6" s="55">
        <v>238.18</v>
      </c>
      <c r="D6" s="56">
        <v>0</v>
      </c>
    </row>
    <row r="7" spans="1:4" ht="21" customHeight="1">
      <c r="A7" s="53" t="s">
        <v>90</v>
      </c>
      <c r="B7" s="54" t="s">
        <v>89</v>
      </c>
      <c r="C7" s="55">
        <v>4691000</v>
      </c>
      <c r="D7" s="56">
        <v>0</v>
      </c>
    </row>
    <row r="8" spans="1:4" ht="21" customHeight="1">
      <c r="A8" s="53" t="s">
        <v>91</v>
      </c>
      <c r="B8" s="54" t="s">
        <v>89</v>
      </c>
      <c r="C8" s="54">
        <v>1886851.69</v>
      </c>
      <c r="D8" s="56">
        <v>0</v>
      </c>
    </row>
    <row r="9" spans="1:4" ht="21" customHeight="1">
      <c r="A9" s="53" t="s">
        <v>92</v>
      </c>
      <c r="B9" s="54" t="s">
        <v>89</v>
      </c>
      <c r="C9" s="54">
        <v>0</v>
      </c>
      <c r="D9" s="56">
        <v>0</v>
      </c>
    </row>
    <row r="10" spans="1:4" ht="21" customHeight="1">
      <c r="A10" s="53" t="s">
        <v>93</v>
      </c>
      <c r="B10" s="54" t="s">
        <v>89</v>
      </c>
      <c r="C10" s="55">
        <v>12700603.28</v>
      </c>
      <c r="D10" s="56">
        <v>0</v>
      </c>
    </row>
    <row r="11" spans="1:4" ht="21" customHeight="1">
      <c r="A11" s="53" t="s">
        <v>94</v>
      </c>
      <c r="B11" s="54" t="s">
        <v>89</v>
      </c>
      <c r="C11" s="55">
        <v>626968.66</v>
      </c>
      <c r="D11" s="56">
        <v>0</v>
      </c>
    </row>
    <row r="12" spans="1:5" ht="21" customHeight="1">
      <c r="A12" s="53" t="s">
        <v>95</v>
      </c>
      <c r="B12" s="54" t="s">
        <v>89</v>
      </c>
      <c r="C12" s="55">
        <v>11939885.34</v>
      </c>
      <c r="D12" s="56">
        <v>0</v>
      </c>
      <c r="E12" s="416">
        <f>SUM(C6:C12)</f>
        <v>31845547.15</v>
      </c>
    </row>
    <row r="13" spans="1:4" ht="21" customHeight="1">
      <c r="A13" s="53" t="s">
        <v>96</v>
      </c>
      <c r="B13" s="57">
        <v>701</v>
      </c>
      <c r="C13" s="55">
        <v>1681293.82</v>
      </c>
      <c r="D13" s="56">
        <v>0</v>
      </c>
    </row>
    <row r="14" spans="1:4" ht="21" customHeight="1">
      <c r="A14" s="53" t="s">
        <v>97</v>
      </c>
      <c r="B14" s="57" t="s">
        <v>98</v>
      </c>
      <c r="C14" s="55">
        <v>30140.65</v>
      </c>
      <c r="D14" s="56"/>
    </row>
    <row r="15" spans="1:4" ht="21" customHeight="1">
      <c r="A15" s="53" t="s">
        <v>99</v>
      </c>
      <c r="B15" s="54"/>
      <c r="C15" s="55">
        <v>107450</v>
      </c>
      <c r="D15" s="56">
        <v>0</v>
      </c>
    </row>
    <row r="16" spans="1:4" ht="21" customHeight="1">
      <c r="A16" s="53" t="s">
        <v>100</v>
      </c>
      <c r="B16" s="54" t="s">
        <v>101</v>
      </c>
      <c r="C16" s="54">
        <v>1440</v>
      </c>
      <c r="D16" s="56">
        <v>0</v>
      </c>
    </row>
    <row r="17" spans="1:4" ht="21" customHeight="1">
      <c r="A17" s="53" t="s">
        <v>73</v>
      </c>
      <c r="B17" s="57">
        <v>100</v>
      </c>
      <c r="C17" s="54"/>
      <c r="D17" s="56"/>
    </row>
    <row r="18" spans="1:4" ht="21" customHeight="1">
      <c r="A18" s="53" t="s">
        <v>46</v>
      </c>
      <c r="B18" s="57">
        <v>120</v>
      </c>
      <c r="C18" s="55"/>
      <c r="D18" s="56"/>
    </row>
    <row r="19" spans="1:4" ht="21" customHeight="1">
      <c r="A19" s="53" t="s">
        <v>74</v>
      </c>
      <c r="B19" s="57">
        <v>130</v>
      </c>
      <c r="C19" s="55"/>
      <c r="D19" s="56"/>
    </row>
    <row r="20" spans="1:4" ht="21" customHeight="1">
      <c r="A20" s="53" t="s">
        <v>75</v>
      </c>
      <c r="B20" s="57">
        <v>200</v>
      </c>
      <c r="C20" s="55"/>
      <c r="D20" s="56"/>
    </row>
    <row r="21" spans="1:4" ht="21" customHeight="1">
      <c r="A21" s="53" t="s">
        <v>76</v>
      </c>
      <c r="B21" s="57">
        <v>250</v>
      </c>
      <c r="C21" s="55"/>
      <c r="D21" s="56"/>
    </row>
    <row r="22" spans="1:4" ht="21" customHeight="1">
      <c r="A22" s="53" t="s">
        <v>77</v>
      </c>
      <c r="B22" s="57">
        <v>270</v>
      </c>
      <c r="C22" s="55"/>
      <c r="D22" s="56"/>
    </row>
    <row r="23" spans="1:4" ht="21" customHeight="1">
      <c r="A23" s="53" t="s">
        <v>51</v>
      </c>
      <c r="B23" s="57">
        <v>300</v>
      </c>
      <c r="C23" s="55"/>
      <c r="D23" s="56"/>
    </row>
    <row r="24" spans="1:4" ht="21" customHeight="1">
      <c r="A24" s="53" t="s">
        <v>54</v>
      </c>
      <c r="B24" s="57">
        <v>450</v>
      </c>
      <c r="C24" s="55"/>
      <c r="D24" s="56"/>
    </row>
    <row r="25" spans="1:4" ht="21" customHeight="1">
      <c r="A25" s="53" t="s">
        <v>55</v>
      </c>
      <c r="B25" s="57">
        <v>500</v>
      </c>
      <c r="C25" s="55"/>
      <c r="D25" s="56"/>
    </row>
    <row r="26" spans="1:4" ht="21" customHeight="1">
      <c r="A26" s="53" t="s">
        <v>2</v>
      </c>
      <c r="B26" s="58" t="s">
        <v>102</v>
      </c>
      <c r="C26" s="55"/>
      <c r="D26" s="56"/>
    </row>
    <row r="27" spans="1:4" ht="21" customHeight="1">
      <c r="A27" s="53" t="s">
        <v>52</v>
      </c>
      <c r="B27" s="57">
        <v>400</v>
      </c>
      <c r="C27" s="55"/>
      <c r="D27" s="56"/>
    </row>
    <row r="28" spans="1:4" ht="21" customHeight="1">
      <c r="A28" s="53" t="s">
        <v>103</v>
      </c>
      <c r="B28" s="57">
        <v>821</v>
      </c>
      <c r="C28" s="55"/>
      <c r="D28" s="56"/>
    </row>
    <row r="29" spans="1:4" ht="21" customHeight="1">
      <c r="A29" s="53" t="s">
        <v>104</v>
      </c>
      <c r="B29" s="57">
        <v>900</v>
      </c>
      <c r="C29" s="55"/>
      <c r="D29" s="56">
        <v>1205635.4</v>
      </c>
    </row>
    <row r="30" spans="1:4" ht="21" customHeight="1">
      <c r="A30" s="53" t="s">
        <v>105</v>
      </c>
      <c r="B30" s="57"/>
      <c r="C30" s="54"/>
      <c r="D30" s="56">
        <v>259300</v>
      </c>
    </row>
    <row r="31" spans="1:4" ht="21" customHeight="1">
      <c r="A31" s="53" t="s">
        <v>106</v>
      </c>
      <c r="B31" s="57">
        <v>600</v>
      </c>
      <c r="C31" s="54"/>
      <c r="D31" s="56">
        <v>354400</v>
      </c>
    </row>
    <row r="32" spans="1:4" ht="21" customHeight="1">
      <c r="A32" s="53" t="s">
        <v>107</v>
      </c>
      <c r="B32" s="57">
        <v>700</v>
      </c>
      <c r="C32" s="54"/>
      <c r="D32" s="56">
        <v>16064471.97</v>
      </c>
    </row>
    <row r="33" spans="1:4" ht="21" customHeight="1">
      <c r="A33" s="53" t="s">
        <v>108</v>
      </c>
      <c r="B33" s="57"/>
      <c r="C33" s="54"/>
      <c r="D33" s="56">
        <v>15305505.59</v>
      </c>
    </row>
    <row r="34" spans="1:4" ht="21" customHeight="1">
      <c r="A34" s="53" t="s">
        <v>109</v>
      </c>
      <c r="B34" s="57">
        <v>700</v>
      </c>
      <c r="C34" s="54"/>
      <c r="D34" s="56">
        <v>1440</v>
      </c>
    </row>
    <row r="35" spans="1:4" ht="21" customHeight="1">
      <c r="A35" s="53" t="s">
        <v>110</v>
      </c>
      <c r="B35" s="57"/>
      <c r="C35" s="54"/>
      <c r="D35" s="56">
        <v>734418.66</v>
      </c>
    </row>
    <row r="36" spans="1:4" ht="21" customHeight="1">
      <c r="A36" s="53" t="s">
        <v>111</v>
      </c>
      <c r="B36" s="57"/>
      <c r="C36" s="54">
        <v>259300</v>
      </c>
      <c r="D36" s="56"/>
    </row>
    <row r="37" spans="1:4" ht="21" customHeight="1">
      <c r="A37" s="53"/>
      <c r="B37" s="57"/>
      <c r="C37" s="54">
        <v>0</v>
      </c>
      <c r="D37" s="56">
        <v>0</v>
      </c>
    </row>
    <row r="38" spans="1:4" ht="21" customHeight="1">
      <c r="A38" s="53"/>
      <c r="B38" s="57"/>
      <c r="C38" s="54"/>
      <c r="D38" s="56"/>
    </row>
    <row r="39" spans="1:4" ht="21" customHeight="1">
      <c r="A39" s="53"/>
      <c r="B39" s="57"/>
      <c r="C39" s="54"/>
      <c r="D39" s="56"/>
    </row>
    <row r="40" spans="1:4" ht="21" customHeight="1">
      <c r="A40" s="53"/>
      <c r="B40" s="57"/>
      <c r="C40" s="54"/>
      <c r="D40" s="56"/>
    </row>
    <row r="41" spans="1:4" ht="21" customHeight="1">
      <c r="A41" s="53"/>
      <c r="B41" s="57"/>
      <c r="C41" s="54"/>
      <c r="D41" s="56"/>
    </row>
    <row r="42" spans="1:4" ht="21" customHeight="1">
      <c r="A42" s="53"/>
      <c r="B42" s="57"/>
      <c r="C42" s="55"/>
      <c r="D42" s="56"/>
    </row>
    <row r="43" spans="1:4" ht="21" customHeight="1">
      <c r="A43" s="59"/>
      <c r="B43" s="59"/>
      <c r="C43" s="598">
        <f>SUM(C5:C42)</f>
        <v>33925171.62</v>
      </c>
      <c r="D43" s="586">
        <f>SUM(D5:D42)</f>
        <v>33925171.62</v>
      </c>
    </row>
    <row r="44" spans="3:8" s="411" customFormat="1" ht="21" customHeight="1">
      <c r="C44" s="412"/>
      <c r="D44" s="413"/>
      <c r="E44" s="415"/>
      <c r="F44" s="580"/>
      <c r="G44" s="415"/>
      <c r="H44" s="415"/>
    </row>
    <row r="45" spans="3:8" s="411" customFormat="1" ht="21" customHeight="1">
      <c r="C45" s="412"/>
      <c r="D45" s="413"/>
      <c r="E45" s="415"/>
      <c r="F45" s="580"/>
      <c r="G45" s="415"/>
      <c r="H45" s="415"/>
    </row>
    <row r="46" spans="1:4" ht="21" customHeight="1">
      <c r="A46" s="751" t="s">
        <v>30</v>
      </c>
      <c r="B46" s="751"/>
      <c r="C46" s="751"/>
      <c r="D46" s="751"/>
    </row>
    <row r="47" spans="1:4" ht="21" customHeight="1">
      <c r="A47" s="751" t="s">
        <v>141</v>
      </c>
      <c r="B47" s="751"/>
      <c r="C47" s="751"/>
      <c r="D47" s="751"/>
    </row>
    <row r="48" spans="1:4" ht="21" customHeight="1">
      <c r="A48" s="751" t="s">
        <v>670</v>
      </c>
      <c r="B48" s="751"/>
      <c r="C48" s="751"/>
      <c r="D48" s="751"/>
    </row>
    <row r="49" spans="1:4" ht="21" customHeight="1">
      <c r="A49" s="418" t="s">
        <v>32</v>
      </c>
      <c r="B49" s="418" t="s">
        <v>83</v>
      </c>
      <c r="C49" s="419" t="s">
        <v>84</v>
      </c>
      <c r="D49" s="419" t="s">
        <v>85</v>
      </c>
    </row>
    <row r="50" spans="1:4" ht="21" customHeight="1">
      <c r="A50" s="420" t="s">
        <v>86</v>
      </c>
      <c r="B50" s="421" t="s">
        <v>87</v>
      </c>
      <c r="C50" s="422">
        <v>0</v>
      </c>
      <c r="D50" s="423"/>
    </row>
    <row r="51" spans="1:4" ht="21" customHeight="1">
      <c r="A51" s="420" t="s">
        <v>88</v>
      </c>
      <c r="B51" s="421" t="s">
        <v>89</v>
      </c>
      <c r="C51" s="422">
        <v>238.18</v>
      </c>
      <c r="D51" s="423"/>
    </row>
    <row r="52" spans="1:4" ht="21" customHeight="1">
      <c r="A52" s="420" t="s">
        <v>90</v>
      </c>
      <c r="B52" s="421" t="s">
        <v>89</v>
      </c>
      <c r="C52" s="422">
        <v>4691000</v>
      </c>
      <c r="D52" s="423"/>
    </row>
    <row r="53" spans="1:4" ht="21" customHeight="1">
      <c r="A53" s="420" t="s">
        <v>91</v>
      </c>
      <c r="B53" s="421" t="s">
        <v>89</v>
      </c>
      <c r="C53" s="421">
        <v>810883.99</v>
      </c>
      <c r="D53" s="423"/>
    </row>
    <row r="54" spans="1:4" ht="21" customHeight="1">
      <c r="A54" s="420" t="s">
        <v>92</v>
      </c>
      <c r="B54" s="421" t="s">
        <v>89</v>
      </c>
      <c r="C54" s="422" t="s">
        <v>27</v>
      </c>
      <c r="D54" s="423"/>
    </row>
    <row r="55" spans="1:4" ht="21" customHeight="1">
      <c r="A55" s="420" t="s">
        <v>93</v>
      </c>
      <c r="B55" s="421" t="s">
        <v>89</v>
      </c>
      <c r="C55" s="422">
        <v>13425804.68</v>
      </c>
      <c r="D55" s="423"/>
    </row>
    <row r="56" spans="1:4" ht="21" customHeight="1">
      <c r="A56" s="420" t="s">
        <v>94</v>
      </c>
      <c r="B56" s="421" t="s">
        <v>89</v>
      </c>
      <c r="C56" s="422">
        <v>626968.66</v>
      </c>
      <c r="D56" s="423"/>
    </row>
    <row r="57" spans="1:5" ht="21" customHeight="1">
      <c r="A57" s="420" t="s">
        <v>95</v>
      </c>
      <c r="B57" s="421" t="s">
        <v>89</v>
      </c>
      <c r="C57" s="422">
        <v>11939885.34</v>
      </c>
      <c r="D57" s="423"/>
      <c r="E57" s="416">
        <f>SUM(C51:C57)</f>
        <v>31494780.85</v>
      </c>
    </row>
    <row r="58" spans="1:4" ht="21" customHeight="1">
      <c r="A58" s="420" t="s">
        <v>96</v>
      </c>
      <c r="B58" s="424">
        <v>701</v>
      </c>
      <c r="C58" s="422">
        <v>1681293.82</v>
      </c>
      <c r="D58" s="423"/>
    </row>
    <row r="59" spans="1:4" ht="21" customHeight="1">
      <c r="A59" s="420" t="s">
        <v>97</v>
      </c>
      <c r="B59" s="424" t="s">
        <v>98</v>
      </c>
      <c r="C59" s="422">
        <v>20316.7</v>
      </c>
      <c r="D59" s="423"/>
    </row>
    <row r="60" spans="1:4" ht="21" customHeight="1">
      <c r="A60" s="420" t="s">
        <v>99</v>
      </c>
      <c r="B60" s="421"/>
      <c r="C60" s="422">
        <v>107450</v>
      </c>
      <c r="D60" s="423"/>
    </row>
    <row r="61" spans="1:4" ht="21" customHeight="1">
      <c r="A61" s="420" t="s">
        <v>672</v>
      </c>
      <c r="B61" s="425" t="s">
        <v>673</v>
      </c>
      <c r="C61" s="422">
        <v>1396485</v>
      </c>
      <c r="D61" s="423"/>
    </row>
    <row r="62" spans="1:4" ht="21" customHeight="1">
      <c r="A62" s="420" t="s">
        <v>100</v>
      </c>
      <c r="B62" s="421" t="s">
        <v>101</v>
      </c>
      <c r="C62" s="421">
        <v>0</v>
      </c>
      <c r="D62" s="423"/>
    </row>
    <row r="63" spans="1:4" ht="21" customHeight="1">
      <c r="A63" s="420" t="s">
        <v>73</v>
      </c>
      <c r="B63" s="424">
        <v>100</v>
      </c>
      <c r="C63" s="421">
        <v>599018.7</v>
      </c>
      <c r="D63" s="423"/>
    </row>
    <row r="64" spans="1:4" ht="21" customHeight="1">
      <c r="A64" s="420" t="s">
        <v>46</v>
      </c>
      <c r="B64" s="424">
        <v>120</v>
      </c>
      <c r="C64" s="422">
        <v>15000</v>
      </c>
      <c r="D64" s="423"/>
    </row>
    <row r="65" spans="1:4" ht="21" customHeight="1">
      <c r="A65" s="420" t="s">
        <v>74</v>
      </c>
      <c r="B65" s="424">
        <v>130</v>
      </c>
      <c r="C65" s="422">
        <v>276310</v>
      </c>
      <c r="D65" s="423"/>
    </row>
    <row r="66" spans="1:4" ht="21" customHeight="1">
      <c r="A66" s="420" t="s">
        <v>75</v>
      </c>
      <c r="B66" s="424">
        <v>200</v>
      </c>
      <c r="C66" s="422">
        <v>0</v>
      </c>
      <c r="D66" s="423"/>
    </row>
    <row r="67" spans="1:4" ht="21" customHeight="1">
      <c r="A67" s="420" t="s">
        <v>76</v>
      </c>
      <c r="B67" s="424">
        <v>250</v>
      </c>
      <c r="C67" s="422">
        <v>4815</v>
      </c>
      <c r="D67" s="423"/>
    </row>
    <row r="68" spans="1:4" ht="21" customHeight="1">
      <c r="A68" s="420" t="s">
        <v>77</v>
      </c>
      <c r="B68" s="424">
        <v>270</v>
      </c>
      <c r="C68" s="422">
        <v>0</v>
      </c>
      <c r="D68" s="423"/>
    </row>
    <row r="69" spans="1:4" ht="21" customHeight="1">
      <c r="A69" s="420" t="s">
        <v>51</v>
      </c>
      <c r="B69" s="424">
        <v>300</v>
      </c>
      <c r="C69" s="422">
        <v>19711.77</v>
      </c>
      <c r="D69" s="423"/>
    </row>
    <row r="70" spans="1:4" ht="21" customHeight="1">
      <c r="A70" s="420" t="s">
        <v>54</v>
      </c>
      <c r="B70" s="424">
        <v>450</v>
      </c>
      <c r="C70" s="422"/>
      <c r="D70" s="423"/>
    </row>
    <row r="71" spans="1:4" ht="21" customHeight="1">
      <c r="A71" s="420" t="s">
        <v>55</v>
      </c>
      <c r="B71" s="424">
        <v>500</v>
      </c>
      <c r="C71" s="422"/>
      <c r="D71" s="423"/>
    </row>
    <row r="72" spans="1:6" ht="21" customHeight="1">
      <c r="A72" s="420" t="s">
        <v>2</v>
      </c>
      <c r="B72" s="426" t="s">
        <v>102</v>
      </c>
      <c r="C72" s="422">
        <v>9500</v>
      </c>
      <c r="D72" s="423"/>
      <c r="F72" s="417">
        <f>SUM(C63:C72)</f>
        <v>924355.47</v>
      </c>
    </row>
    <row r="73" spans="1:4" ht="21" customHeight="1">
      <c r="A73" s="420" t="s">
        <v>52</v>
      </c>
      <c r="B73" s="424">
        <v>400</v>
      </c>
      <c r="C73" s="422"/>
      <c r="D73" s="423"/>
    </row>
    <row r="74" spans="1:4" ht="21" customHeight="1">
      <c r="A74" s="420" t="s">
        <v>103</v>
      </c>
      <c r="B74" s="424">
        <v>821</v>
      </c>
      <c r="C74" s="422"/>
      <c r="D74" s="423">
        <v>2652765.72</v>
      </c>
    </row>
    <row r="75" spans="1:5" ht="21" customHeight="1">
      <c r="A75" s="420" t="s">
        <v>104</v>
      </c>
      <c r="B75" s="424">
        <v>900</v>
      </c>
      <c r="C75" s="422"/>
      <c r="D75" s="423">
        <f>4615.9+794362+21437+19446</f>
        <v>839860.9</v>
      </c>
      <c r="E75" s="417">
        <f>21437+4615.9+19446+794362</f>
        <v>839860.9</v>
      </c>
    </row>
    <row r="76" spans="1:4" ht="21" customHeight="1">
      <c r="A76" s="420" t="s">
        <v>105</v>
      </c>
      <c r="B76" s="424"/>
      <c r="C76" s="421"/>
      <c r="D76" s="423">
        <v>259300</v>
      </c>
    </row>
    <row r="77" spans="1:4" ht="21" customHeight="1">
      <c r="A77" s="420" t="s">
        <v>106</v>
      </c>
      <c r="B77" s="424">
        <v>600</v>
      </c>
      <c r="C77" s="421"/>
      <c r="D77" s="423">
        <v>38000</v>
      </c>
    </row>
    <row r="78" spans="1:4" ht="21" customHeight="1">
      <c r="A78" s="420" t="s">
        <v>107</v>
      </c>
      <c r="B78" s="424">
        <v>700</v>
      </c>
      <c r="C78" s="421"/>
      <c r="D78" s="423">
        <v>16054130.97</v>
      </c>
    </row>
    <row r="79" spans="1:4" ht="21" customHeight="1">
      <c r="A79" s="420" t="s">
        <v>108</v>
      </c>
      <c r="B79" s="424"/>
      <c r="C79" s="421"/>
      <c r="D79" s="423">
        <v>15305505.59</v>
      </c>
    </row>
    <row r="80" spans="1:4" ht="21" customHeight="1">
      <c r="A80" s="420" t="s">
        <v>109</v>
      </c>
      <c r="B80" s="424" t="s">
        <v>671</v>
      </c>
      <c r="C80" s="421"/>
      <c r="D80" s="423"/>
    </row>
    <row r="81" spans="1:4" ht="21" customHeight="1">
      <c r="A81" s="420" t="s">
        <v>110</v>
      </c>
      <c r="B81" s="424"/>
      <c r="C81" s="421"/>
      <c r="D81" s="423">
        <v>734418.66</v>
      </c>
    </row>
    <row r="82" spans="1:4" ht="21" customHeight="1">
      <c r="A82" s="420" t="s">
        <v>111</v>
      </c>
      <c r="B82" s="424"/>
      <c r="C82" s="421">
        <v>259300</v>
      </c>
      <c r="D82" s="423"/>
    </row>
    <row r="83" spans="1:4" ht="21" customHeight="1" hidden="1">
      <c r="A83" s="420"/>
      <c r="B83" s="424"/>
      <c r="C83" s="421"/>
      <c r="D83" s="423"/>
    </row>
    <row r="84" spans="1:4" ht="21" customHeight="1" hidden="1">
      <c r="A84" s="420"/>
      <c r="B84" s="424"/>
      <c r="C84" s="421"/>
      <c r="D84" s="423"/>
    </row>
    <row r="85" spans="1:4" ht="21" customHeight="1" hidden="1">
      <c r="A85" s="420"/>
      <c r="B85" s="424"/>
      <c r="C85" s="421"/>
      <c r="D85" s="423"/>
    </row>
    <row r="86" spans="1:4" ht="21" customHeight="1" hidden="1">
      <c r="A86" s="420"/>
      <c r="B86" s="424"/>
      <c r="C86" s="421"/>
      <c r="D86" s="423"/>
    </row>
    <row r="87" spans="1:4" ht="21" customHeight="1" hidden="1">
      <c r="A87" s="420"/>
      <c r="B87" s="424"/>
      <c r="C87" s="421"/>
      <c r="D87" s="423"/>
    </row>
    <row r="88" spans="1:4" ht="21" customHeight="1" hidden="1">
      <c r="A88" s="420"/>
      <c r="B88" s="424"/>
      <c r="C88" s="422"/>
      <c r="D88" s="423"/>
    </row>
    <row r="89" spans="1:5" ht="21" customHeight="1">
      <c r="A89" s="427"/>
      <c r="B89" s="427"/>
      <c r="C89" s="428">
        <f>SUM(C50:C88)</f>
        <v>35883981.84000001</v>
      </c>
      <c r="D89" s="429">
        <f>SUM(D50:D88)</f>
        <v>35883981.839999996</v>
      </c>
      <c r="E89" s="416">
        <f>+C89-D89</f>
        <v>0</v>
      </c>
    </row>
    <row r="90" spans="1:4" ht="21" customHeight="1">
      <c r="A90" s="411"/>
      <c r="B90" s="411"/>
      <c r="C90" s="412"/>
      <c r="D90" s="413"/>
    </row>
    <row r="91" spans="1:4" ht="21" customHeight="1">
      <c r="A91" s="751" t="s">
        <v>30</v>
      </c>
      <c r="B91" s="751"/>
      <c r="C91" s="751"/>
      <c r="D91" s="751"/>
    </row>
    <row r="92" spans="1:4" ht="21" customHeight="1">
      <c r="A92" s="751" t="s">
        <v>141</v>
      </c>
      <c r="B92" s="751"/>
      <c r="C92" s="751"/>
      <c r="D92" s="751"/>
    </row>
    <row r="93" spans="1:4" ht="21" customHeight="1">
      <c r="A93" s="751" t="s">
        <v>872</v>
      </c>
      <c r="B93" s="751"/>
      <c r="C93" s="751"/>
      <c r="D93" s="751"/>
    </row>
    <row r="94" spans="1:4" ht="21" customHeight="1">
      <c r="A94" s="418" t="s">
        <v>32</v>
      </c>
      <c r="B94" s="418" t="s">
        <v>83</v>
      </c>
      <c r="C94" s="419" t="s">
        <v>84</v>
      </c>
      <c r="D94" s="419" t="s">
        <v>85</v>
      </c>
    </row>
    <row r="95" spans="1:4" ht="21" customHeight="1">
      <c r="A95" s="420" t="s">
        <v>86</v>
      </c>
      <c r="B95" s="421" t="s">
        <v>87</v>
      </c>
      <c r="C95" s="422">
        <v>0</v>
      </c>
      <c r="D95" s="423"/>
    </row>
    <row r="96" spans="1:4" ht="21" customHeight="1">
      <c r="A96" s="420" t="s">
        <v>873</v>
      </c>
      <c r="B96" s="421" t="s">
        <v>89</v>
      </c>
      <c r="C96" s="422">
        <f>238.18+508105.35</f>
        <v>508343.52999999997</v>
      </c>
      <c r="D96" s="423"/>
    </row>
    <row r="97" spans="1:4" ht="21" customHeight="1">
      <c r="A97" s="420" t="s">
        <v>90</v>
      </c>
      <c r="B97" s="421" t="s">
        <v>89</v>
      </c>
      <c r="C97" s="422">
        <v>4691000</v>
      </c>
      <c r="D97" s="423"/>
    </row>
    <row r="98" spans="1:4" ht="21" customHeight="1">
      <c r="A98" s="420" t="s">
        <v>91</v>
      </c>
      <c r="B98" s="421" t="s">
        <v>89</v>
      </c>
      <c r="C98" s="421">
        <v>1037894.92</v>
      </c>
      <c r="D98" s="423"/>
    </row>
    <row r="99" spans="1:4" ht="21" customHeight="1">
      <c r="A99" s="420" t="s">
        <v>92</v>
      </c>
      <c r="B99" s="421" t="s">
        <v>89</v>
      </c>
      <c r="C99" s="422">
        <v>0</v>
      </c>
      <c r="D99" s="423"/>
    </row>
    <row r="100" spans="1:4" ht="21" customHeight="1">
      <c r="A100" s="420" t="s">
        <v>93</v>
      </c>
      <c r="B100" s="421" t="s">
        <v>89</v>
      </c>
      <c r="C100" s="422">
        <v>17294129.65</v>
      </c>
      <c r="D100" s="423"/>
    </row>
    <row r="101" spans="1:4" ht="21" customHeight="1">
      <c r="A101" s="420" t="s">
        <v>874</v>
      </c>
      <c r="B101" s="421" t="s">
        <v>89</v>
      </c>
      <c r="C101" s="422">
        <v>634406.66</v>
      </c>
      <c r="D101" s="423"/>
    </row>
    <row r="102" spans="1:5" ht="21" customHeight="1">
      <c r="A102" s="420" t="s">
        <v>95</v>
      </c>
      <c r="B102" s="421" t="s">
        <v>89</v>
      </c>
      <c r="C102" s="422">
        <v>11974494.65</v>
      </c>
      <c r="D102" s="423"/>
      <c r="E102" s="416">
        <f>SUM(C96:C102)</f>
        <v>36140269.41</v>
      </c>
    </row>
    <row r="103" spans="1:4" ht="21" customHeight="1">
      <c r="A103" s="420" t="s">
        <v>96</v>
      </c>
      <c r="B103" s="424">
        <v>701</v>
      </c>
      <c r="C103" s="422">
        <v>1681293.82</v>
      </c>
      <c r="D103" s="423"/>
    </row>
    <row r="104" spans="1:4" ht="21" customHeight="1">
      <c r="A104" s="420" t="s">
        <v>875</v>
      </c>
      <c r="B104" s="424" t="s">
        <v>98</v>
      </c>
      <c r="C104" s="422">
        <v>20121.95</v>
      </c>
      <c r="D104" s="423"/>
    </row>
    <row r="105" spans="1:4" ht="21" customHeight="1">
      <c r="A105" s="420" t="s">
        <v>99</v>
      </c>
      <c r="B105" s="421"/>
      <c r="C105" s="422">
        <v>100450</v>
      </c>
      <c r="D105" s="423"/>
    </row>
    <row r="106" spans="1:4" ht="21" customHeight="1">
      <c r="A106" s="420" t="s">
        <v>672</v>
      </c>
      <c r="B106" s="425" t="s">
        <v>673</v>
      </c>
      <c r="C106" s="422">
        <v>418595</v>
      </c>
      <c r="D106" s="423"/>
    </row>
    <row r="107" spans="1:4" ht="21" customHeight="1">
      <c r="A107" s="420" t="s">
        <v>100</v>
      </c>
      <c r="B107" s="421" t="s">
        <v>101</v>
      </c>
      <c r="C107" s="421">
        <v>21630</v>
      </c>
      <c r="D107" s="423"/>
    </row>
    <row r="108" spans="1:8" s="411" customFormat="1" ht="21" customHeight="1">
      <c r="A108" s="420" t="s">
        <v>73</v>
      </c>
      <c r="B108" s="424">
        <v>100</v>
      </c>
      <c r="C108" s="421">
        <v>1198433.7</v>
      </c>
      <c r="D108" s="423"/>
      <c r="E108" s="415"/>
      <c r="F108" s="580"/>
      <c r="G108" s="415"/>
      <c r="H108" s="415"/>
    </row>
    <row r="109" spans="1:8" s="411" customFormat="1" ht="21" customHeight="1">
      <c r="A109" s="420" t="s">
        <v>46</v>
      </c>
      <c r="B109" s="424">
        <v>120</v>
      </c>
      <c r="C109" s="422">
        <v>47840</v>
      </c>
      <c r="D109" s="423"/>
      <c r="E109" s="415"/>
      <c r="F109" s="580"/>
      <c r="G109" s="415"/>
      <c r="H109" s="415"/>
    </row>
    <row r="110" spans="1:8" s="411" customFormat="1" ht="21" customHeight="1">
      <c r="A110" s="420" t="s">
        <v>74</v>
      </c>
      <c r="B110" s="424">
        <v>130</v>
      </c>
      <c r="C110" s="422">
        <v>552620</v>
      </c>
      <c r="D110" s="423"/>
      <c r="E110" s="415"/>
      <c r="F110" s="580"/>
      <c r="G110" s="415"/>
      <c r="H110" s="415"/>
    </row>
    <row r="111" spans="1:8" s="411" customFormat="1" ht="21" customHeight="1">
      <c r="A111" s="420" t="s">
        <v>75</v>
      </c>
      <c r="B111" s="424">
        <v>200</v>
      </c>
      <c r="C111" s="422">
        <v>21900</v>
      </c>
      <c r="D111" s="423"/>
      <c r="E111" s="415"/>
      <c r="F111" s="580"/>
      <c r="G111" s="415"/>
      <c r="H111" s="415"/>
    </row>
    <row r="112" spans="1:8" s="411" customFormat="1" ht="21" customHeight="1">
      <c r="A112" s="420" t="s">
        <v>76</v>
      </c>
      <c r="B112" s="424">
        <v>250</v>
      </c>
      <c r="C112" s="422">
        <v>491427</v>
      </c>
      <c r="D112" s="423"/>
      <c r="E112" s="415"/>
      <c r="F112" s="580"/>
      <c r="G112" s="415"/>
      <c r="H112" s="415"/>
    </row>
    <row r="113" spans="1:8" s="411" customFormat="1" ht="21" customHeight="1">
      <c r="A113" s="420" t="s">
        <v>77</v>
      </c>
      <c r="B113" s="424">
        <v>270</v>
      </c>
      <c r="C113" s="422">
        <v>46760</v>
      </c>
      <c r="D113" s="423"/>
      <c r="E113" s="415"/>
      <c r="F113" s="580"/>
      <c r="G113" s="415"/>
      <c r="H113" s="415"/>
    </row>
    <row r="114" spans="1:8" s="411" customFormat="1" ht="21" customHeight="1">
      <c r="A114" s="420" t="s">
        <v>51</v>
      </c>
      <c r="B114" s="424">
        <v>300</v>
      </c>
      <c r="C114" s="422">
        <v>65483.78</v>
      </c>
      <c r="D114" s="423"/>
      <c r="E114" s="415"/>
      <c r="F114" s="580"/>
      <c r="G114" s="415"/>
      <c r="H114" s="415"/>
    </row>
    <row r="115" spans="1:8" s="411" customFormat="1" ht="21" customHeight="1">
      <c r="A115" s="420" t="s">
        <v>54</v>
      </c>
      <c r="B115" s="424">
        <v>450</v>
      </c>
      <c r="C115" s="422"/>
      <c r="D115" s="423"/>
      <c r="E115" s="415"/>
      <c r="F115" s="580"/>
      <c r="G115" s="415"/>
      <c r="H115" s="415"/>
    </row>
    <row r="116" spans="1:8" s="411" customFormat="1" ht="21" customHeight="1">
      <c r="A116" s="420" t="s">
        <v>55</v>
      </c>
      <c r="B116" s="424">
        <v>500</v>
      </c>
      <c r="C116" s="422"/>
      <c r="D116" s="423"/>
      <c r="E116" s="415"/>
      <c r="F116" s="580"/>
      <c r="G116" s="415"/>
      <c r="H116" s="415"/>
    </row>
    <row r="117" spans="1:8" s="411" customFormat="1" ht="21" customHeight="1">
      <c r="A117" s="420" t="s">
        <v>2</v>
      </c>
      <c r="B117" s="426" t="s">
        <v>102</v>
      </c>
      <c r="C117" s="422">
        <v>432813</v>
      </c>
      <c r="D117" s="423"/>
      <c r="E117" s="415"/>
      <c r="F117" s="583" t="s">
        <v>885</v>
      </c>
      <c r="G117" s="581" t="s">
        <v>886</v>
      </c>
      <c r="H117" s="415"/>
    </row>
    <row r="118" spans="1:8" s="411" customFormat="1" ht="21" customHeight="1">
      <c r="A118" s="420" t="s">
        <v>52</v>
      </c>
      <c r="B118" s="424">
        <v>400</v>
      </c>
      <c r="C118" s="422">
        <v>673600</v>
      </c>
      <c r="D118" s="423"/>
      <c r="E118" s="415"/>
      <c r="F118" s="580">
        <f>SUM(C108:C118)</f>
        <v>3530877.48</v>
      </c>
      <c r="G118" s="580">
        <v>3530877.48</v>
      </c>
      <c r="H118" s="582">
        <f>+G118-F118</f>
        <v>0</v>
      </c>
    </row>
    <row r="119" spans="1:6" ht="21" customHeight="1">
      <c r="A119" s="420" t="s">
        <v>103</v>
      </c>
      <c r="B119" s="424">
        <v>821</v>
      </c>
      <c r="C119" s="422"/>
      <c r="D119" s="423">
        <v>12117642.36</v>
      </c>
      <c r="E119" s="417">
        <v>12117642.360000001</v>
      </c>
      <c r="F119" s="417">
        <f>+E119-D119</f>
        <v>0</v>
      </c>
    </row>
    <row r="120" spans="1:4" ht="21" customHeight="1">
      <c r="A120" s="420" t="s">
        <v>877</v>
      </c>
      <c r="B120" s="424" t="s">
        <v>879</v>
      </c>
      <c r="C120" s="422">
        <v>316000</v>
      </c>
      <c r="D120" s="423"/>
    </row>
    <row r="121" spans="1:4" ht="21" customHeight="1">
      <c r="A121" s="420" t="s">
        <v>878</v>
      </c>
      <c r="B121" s="424" t="s">
        <v>879</v>
      </c>
      <c r="C121" s="422">
        <v>2056000</v>
      </c>
      <c r="D121" s="423"/>
    </row>
    <row r="122" spans="1:4" ht="21" customHeight="1">
      <c r="A122" s="420" t="s">
        <v>104</v>
      </c>
      <c r="B122" s="424">
        <v>900</v>
      </c>
      <c r="C122" s="422"/>
      <c r="D122" s="423">
        <v>752841.01</v>
      </c>
    </row>
    <row r="123" spans="1:4" ht="21" customHeight="1">
      <c r="A123" s="420" t="s">
        <v>105</v>
      </c>
      <c r="B123" s="424"/>
      <c r="C123" s="421"/>
      <c r="D123" s="586">
        <v>259300</v>
      </c>
    </row>
    <row r="124" spans="1:4" ht="21" customHeight="1">
      <c r="A124" s="420" t="s">
        <v>106</v>
      </c>
      <c r="B124" s="424">
        <v>600</v>
      </c>
      <c r="C124" s="421"/>
      <c r="D124" s="423">
        <v>0</v>
      </c>
    </row>
    <row r="125" spans="1:4" ht="21" customHeight="1">
      <c r="A125" s="420" t="s">
        <v>107</v>
      </c>
      <c r="B125" s="424">
        <v>700</v>
      </c>
      <c r="C125" s="421"/>
      <c r="D125" s="423">
        <v>15374392.04</v>
      </c>
    </row>
    <row r="126" spans="1:4" ht="21" customHeight="1">
      <c r="A126" s="420" t="s">
        <v>108</v>
      </c>
      <c r="B126" s="424"/>
      <c r="C126" s="421"/>
      <c r="D126" s="423">
        <v>15305505.59</v>
      </c>
    </row>
    <row r="127" spans="1:4" ht="21" customHeight="1">
      <c r="A127" s="420" t="s">
        <v>109</v>
      </c>
      <c r="B127" s="424" t="s">
        <v>671</v>
      </c>
      <c r="C127" s="421"/>
      <c r="D127" s="423"/>
    </row>
    <row r="128" spans="1:4" ht="21" customHeight="1">
      <c r="A128" s="420" t="s">
        <v>110</v>
      </c>
      <c r="B128" s="424"/>
      <c r="C128" s="421"/>
      <c r="D128" s="423">
        <v>734856.66</v>
      </c>
    </row>
    <row r="129" spans="1:4" ht="21" customHeight="1">
      <c r="A129" s="420" t="s">
        <v>111</v>
      </c>
      <c r="B129" s="424"/>
      <c r="C129" s="587">
        <v>259300</v>
      </c>
      <c r="D129" s="423"/>
    </row>
    <row r="130" spans="1:5" ht="21" customHeight="1">
      <c r="A130" s="427"/>
      <c r="B130" s="427"/>
      <c r="C130" s="584">
        <f>SUM(C95:C129)</f>
        <v>44544537.660000004</v>
      </c>
      <c r="D130" s="585">
        <f>SUM(D95:D129)</f>
        <v>44544537.66</v>
      </c>
      <c r="E130" s="416">
        <f>+D130-C130</f>
        <v>0</v>
      </c>
    </row>
    <row r="132" spans="1:4" ht="21" customHeight="1">
      <c r="A132" s="751" t="s">
        <v>30</v>
      </c>
      <c r="B132" s="751"/>
      <c r="C132" s="751"/>
      <c r="D132" s="751"/>
    </row>
    <row r="133" spans="1:4" ht="21" customHeight="1">
      <c r="A133" s="751" t="s">
        <v>141</v>
      </c>
      <c r="B133" s="751"/>
      <c r="C133" s="751"/>
      <c r="D133" s="751"/>
    </row>
    <row r="134" spans="1:4" ht="21" customHeight="1">
      <c r="A134" s="751" t="s">
        <v>887</v>
      </c>
      <c r="B134" s="751"/>
      <c r="C134" s="751"/>
      <c r="D134" s="751"/>
    </row>
    <row r="135" spans="1:4" ht="21" customHeight="1">
      <c r="A135" s="418" t="s">
        <v>32</v>
      </c>
      <c r="B135" s="418" t="s">
        <v>83</v>
      </c>
      <c r="C135" s="419" t="s">
        <v>84</v>
      </c>
      <c r="D135" s="419" t="s">
        <v>85</v>
      </c>
    </row>
    <row r="136" spans="1:4" ht="21" customHeight="1">
      <c r="A136" s="420" t="s">
        <v>86</v>
      </c>
      <c r="B136" s="421" t="s">
        <v>87</v>
      </c>
      <c r="C136" s="422"/>
      <c r="D136" s="423"/>
    </row>
    <row r="137" spans="1:4" ht="21" customHeight="1">
      <c r="A137" s="420" t="s">
        <v>893</v>
      </c>
      <c r="B137" s="421" t="s">
        <v>89</v>
      </c>
      <c r="C137" s="422">
        <f>238.18+508105.35</f>
        <v>508343.52999999997</v>
      </c>
      <c r="D137" s="423"/>
    </row>
    <row r="138" spans="1:4" ht="21" customHeight="1">
      <c r="A138" s="420" t="s">
        <v>895</v>
      </c>
      <c r="B138" s="421" t="s">
        <v>89</v>
      </c>
      <c r="C138" s="422">
        <v>4691000</v>
      </c>
      <c r="D138" s="423"/>
    </row>
    <row r="139" spans="1:4" ht="21" customHeight="1">
      <c r="A139" s="420" t="s">
        <v>894</v>
      </c>
      <c r="B139" s="421" t="s">
        <v>89</v>
      </c>
      <c r="C139" s="421">
        <v>783757.6</v>
      </c>
      <c r="D139" s="423"/>
    </row>
    <row r="140" spans="1:4" ht="21" customHeight="1">
      <c r="A140" s="420" t="s">
        <v>896</v>
      </c>
      <c r="B140" s="421" t="s">
        <v>89</v>
      </c>
      <c r="C140" s="422">
        <v>8238607</v>
      </c>
      <c r="D140" s="423"/>
    </row>
    <row r="141" spans="1:4" ht="21" customHeight="1">
      <c r="A141" s="420" t="s">
        <v>897</v>
      </c>
      <c r="B141" s="421" t="s">
        <v>89</v>
      </c>
      <c r="C141" s="422">
        <v>15131111.69</v>
      </c>
      <c r="D141" s="423"/>
    </row>
    <row r="142" spans="1:4" ht="21" customHeight="1">
      <c r="A142" s="420" t="s">
        <v>898</v>
      </c>
      <c r="B142" s="421" t="s">
        <v>89</v>
      </c>
      <c r="C142" s="422">
        <v>634406.66</v>
      </c>
      <c r="D142" s="423"/>
    </row>
    <row r="143" spans="1:5" ht="21" customHeight="1">
      <c r="A143" s="420" t="s">
        <v>899</v>
      </c>
      <c r="B143" s="421" t="s">
        <v>89</v>
      </c>
      <c r="C143" s="422">
        <v>11974494.65</v>
      </c>
      <c r="D143" s="423"/>
      <c r="E143" s="416">
        <f>SUM(C137:C143)</f>
        <v>41961721.13</v>
      </c>
    </row>
    <row r="144" spans="1:4" ht="21" customHeight="1">
      <c r="A144" s="420" t="s">
        <v>96</v>
      </c>
      <c r="B144" s="424">
        <v>701</v>
      </c>
      <c r="C144" s="422">
        <v>1681293.82</v>
      </c>
      <c r="D144" s="423"/>
    </row>
    <row r="145" spans="1:4" ht="21" customHeight="1">
      <c r="A145" s="420" t="s">
        <v>875</v>
      </c>
      <c r="B145" s="424" t="s">
        <v>98</v>
      </c>
      <c r="C145" s="422">
        <v>20107.7</v>
      </c>
      <c r="D145" s="423"/>
    </row>
    <row r="146" spans="1:4" ht="21" customHeight="1">
      <c r="A146" s="420" t="s">
        <v>99</v>
      </c>
      <c r="B146" s="597">
        <v>707</v>
      </c>
      <c r="C146" s="422">
        <v>100450</v>
      </c>
      <c r="D146" s="423"/>
    </row>
    <row r="147" spans="1:4" ht="21" customHeight="1">
      <c r="A147" s="420" t="s">
        <v>672</v>
      </c>
      <c r="B147" s="425" t="s">
        <v>673</v>
      </c>
      <c r="C147" s="422">
        <v>610205</v>
      </c>
      <c r="D147" s="423"/>
    </row>
    <row r="148" spans="1:4" ht="21" customHeight="1">
      <c r="A148" s="420" t="s">
        <v>100</v>
      </c>
      <c r="B148" s="421" t="s">
        <v>101</v>
      </c>
      <c r="C148" s="421">
        <v>33600</v>
      </c>
      <c r="D148" s="423"/>
    </row>
    <row r="149" spans="1:8" ht="21" customHeight="1">
      <c r="A149" s="420" t="s">
        <v>73</v>
      </c>
      <c r="B149" s="424">
        <v>100</v>
      </c>
      <c r="C149" s="421">
        <v>1831888.7</v>
      </c>
      <c r="D149" s="423"/>
      <c r="E149" s="415"/>
      <c r="F149" s="580"/>
      <c r="G149" s="415"/>
      <c r="H149" s="415"/>
    </row>
    <row r="150" spans="1:8" ht="21" customHeight="1">
      <c r="A150" s="420" t="s">
        <v>46</v>
      </c>
      <c r="B150" s="424">
        <v>120</v>
      </c>
      <c r="C150" s="422">
        <v>64800</v>
      </c>
      <c r="D150" s="423"/>
      <c r="E150" s="415"/>
      <c r="F150" s="580"/>
      <c r="G150" s="415"/>
      <c r="H150" s="415"/>
    </row>
    <row r="151" spans="1:8" ht="21" customHeight="1">
      <c r="A151" s="420" t="s">
        <v>74</v>
      </c>
      <c r="B151" s="424">
        <v>130</v>
      </c>
      <c r="C151" s="422">
        <v>843805</v>
      </c>
      <c r="D151" s="423"/>
      <c r="E151" s="415"/>
      <c r="F151" s="580"/>
      <c r="G151" s="415"/>
      <c r="H151" s="415"/>
    </row>
    <row r="152" spans="1:8" ht="21" customHeight="1">
      <c r="A152" s="420" t="s">
        <v>75</v>
      </c>
      <c r="B152" s="424">
        <v>200</v>
      </c>
      <c r="C152" s="422">
        <v>39200</v>
      </c>
      <c r="D152" s="423"/>
      <c r="E152" s="415"/>
      <c r="F152" s="580"/>
      <c r="G152" s="415"/>
      <c r="H152" s="415"/>
    </row>
    <row r="153" spans="1:8" ht="21" customHeight="1">
      <c r="A153" s="420" t="s">
        <v>76</v>
      </c>
      <c r="B153" s="424">
        <v>250</v>
      </c>
      <c r="C153" s="422">
        <v>686202</v>
      </c>
      <c r="D153" s="423"/>
      <c r="E153" s="415"/>
      <c r="F153" s="580"/>
      <c r="G153" s="415"/>
      <c r="H153" s="415"/>
    </row>
    <row r="154" spans="1:8" ht="21" customHeight="1">
      <c r="A154" s="420" t="s">
        <v>77</v>
      </c>
      <c r="B154" s="424">
        <v>270</v>
      </c>
      <c r="C154" s="422">
        <v>253294.8</v>
      </c>
      <c r="D154" s="423"/>
      <c r="E154" s="415"/>
      <c r="F154" s="580"/>
      <c r="G154" s="415"/>
      <c r="H154" s="415"/>
    </row>
    <row r="155" spans="1:8" ht="21" customHeight="1">
      <c r="A155" s="420" t="s">
        <v>51</v>
      </c>
      <c r="B155" s="424">
        <v>300</v>
      </c>
      <c r="C155" s="422">
        <v>83394.92</v>
      </c>
      <c r="D155" s="423"/>
      <c r="E155" s="415"/>
      <c r="F155" s="580"/>
      <c r="G155" s="415"/>
      <c r="H155" s="415"/>
    </row>
    <row r="156" spans="1:8" ht="21" customHeight="1">
      <c r="A156" s="420" t="s">
        <v>54</v>
      </c>
      <c r="B156" s="424">
        <v>450</v>
      </c>
      <c r="C156" s="422"/>
      <c r="D156" s="423"/>
      <c r="E156" s="415"/>
      <c r="F156" s="580"/>
      <c r="G156" s="415"/>
      <c r="H156" s="415"/>
    </row>
    <row r="157" spans="1:8" ht="21" customHeight="1">
      <c r="A157" s="420" t="s">
        <v>55</v>
      </c>
      <c r="B157" s="424">
        <v>500</v>
      </c>
      <c r="C157" s="422"/>
      <c r="D157" s="423"/>
      <c r="E157" s="415"/>
      <c r="F157" s="580"/>
      <c r="G157" s="415"/>
      <c r="H157" s="415"/>
    </row>
    <row r="158" spans="1:8" ht="21" customHeight="1">
      <c r="A158" s="420" t="s">
        <v>2</v>
      </c>
      <c r="B158" s="426" t="s">
        <v>102</v>
      </c>
      <c r="C158" s="422">
        <v>791750</v>
      </c>
      <c r="D158" s="423"/>
      <c r="E158" s="415"/>
      <c r="F158" s="583" t="s">
        <v>885</v>
      </c>
      <c r="G158" s="581" t="s">
        <v>886</v>
      </c>
      <c r="H158" s="415"/>
    </row>
    <row r="159" spans="1:8" ht="21" customHeight="1">
      <c r="A159" s="420" t="s">
        <v>52</v>
      </c>
      <c r="B159" s="424">
        <v>400</v>
      </c>
      <c r="C159" s="422">
        <v>688600</v>
      </c>
      <c r="D159" s="423"/>
      <c r="E159" s="415"/>
      <c r="F159" s="580">
        <f>SUM(C149:C159)</f>
        <v>5282935.42</v>
      </c>
      <c r="G159" s="580">
        <v>5282935.42</v>
      </c>
      <c r="H159" s="582">
        <f>+G159-F159</f>
        <v>0</v>
      </c>
    </row>
    <row r="160" spans="1:4" ht="21" customHeight="1">
      <c r="A160" s="420" t="s">
        <v>877</v>
      </c>
      <c r="B160" s="424" t="s">
        <v>879</v>
      </c>
      <c r="C160" s="422">
        <v>473500</v>
      </c>
      <c r="D160" s="423"/>
    </row>
    <row r="161" spans="1:4" ht="21" customHeight="1">
      <c r="A161" s="420" t="s">
        <v>878</v>
      </c>
      <c r="B161" s="424" t="s">
        <v>879</v>
      </c>
      <c r="C161" s="422">
        <v>3080300</v>
      </c>
      <c r="D161" s="423"/>
    </row>
    <row r="162" spans="1:4" ht="21" customHeight="1">
      <c r="A162" s="420" t="s">
        <v>902</v>
      </c>
      <c r="B162" s="424"/>
      <c r="C162" s="422">
        <v>5625</v>
      </c>
      <c r="D162" s="423"/>
    </row>
    <row r="163" spans="1:4" ht="21" customHeight="1">
      <c r="A163" s="420" t="s">
        <v>903</v>
      </c>
      <c r="B163" s="424"/>
      <c r="C163" s="422">
        <v>178000</v>
      </c>
      <c r="D163" s="423"/>
    </row>
    <row r="164" spans="1:6" ht="21" customHeight="1">
      <c r="A164" s="420" t="s">
        <v>103</v>
      </c>
      <c r="B164" s="424">
        <v>821</v>
      </c>
      <c r="C164" s="422"/>
      <c r="D164" s="423">
        <f>21186227.24</f>
        <v>21186227.24</v>
      </c>
      <c r="E164" s="417">
        <v>21186227.24</v>
      </c>
      <c r="F164" s="417">
        <f>+E164-D164</f>
        <v>0</v>
      </c>
    </row>
    <row r="165" spans="1:4" ht="21" customHeight="1">
      <c r="A165" s="420" t="s">
        <v>104</v>
      </c>
      <c r="B165" s="424">
        <v>900</v>
      </c>
      <c r="C165" s="422"/>
      <c r="D165" s="423">
        <v>826752.54</v>
      </c>
    </row>
    <row r="166" spans="1:4" ht="21" customHeight="1" hidden="1">
      <c r="A166" s="420" t="s">
        <v>105</v>
      </c>
      <c r="B166" s="424"/>
      <c r="C166" s="421"/>
      <c r="D166" s="423"/>
    </row>
    <row r="167" spans="1:4" ht="21" customHeight="1">
      <c r="A167" s="420" t="s">
        <v>106</v>
      </c>
      <c r="B167" s="424">
        <v>600</v>
      </c>
      <c r="C167" s="421"/>
      <c r="D167" s="423">
        <v>0</v>
      </c>
    </row>
    <row r="168" spans="1:4" ht="21" customHeight="1">
      <c r="A168" s="420" t="s">
        <v>107</v>
      </c>
      <c r="B168" s="424">
        <v>700</v>
      </c>
      <c r="C168" s="421"/>
      <c r="D168" s="423">
        <v>15374396.04</v>
      </c>
    </row>
    <row r="169" spans="1:4" ht="21" customHeight="1">
      <c r="A169" s="420" t="s">
        <v>108</v>
      </c>
      <c r="B169" s="424" t="s">
        <v>900</v>
      </c>
      <c r="C169" s="421"/>
      <c r="D169" s="423">
        <v>15305505.59</v>
      </c>
    </row>
    <row r="170" spans="1:4" ht="21" customHeight="1" hidden="1">
      <c r="A170" s="420" t="s">
        <v>109</v>
      </c>
      <c r="B170" s="424" t="s">
        <v>671</v>
      </c>
      <c r="C170" s="421"/>
      <c r="D170" s="423"/>
    </row>
    <row r="171" spans="1:4" ht="21" customHeight="1">
      <c r="A171" s="420" t="s">
        <v>110</v>
      </c>
      <c r="B171" s="424" t="s">
        <v>89</v>
      </c>
      <c r="C171" s="421"/>
      <c r="D171" s="423">
        <v>734856.66</v>
      </c>
    </row>
    <row r="172" spans="1:4" ht="21" customHeight="1" hidden="1">
      <c r="A172" s="420" t="s">
        <v>111</v>
      </c>
      <c r="B172" s="424"/>
      <c r="C172" s="421"/>
      <c r="D172" s="423"/>
    </row>
    <row r="173" spans="1:5" ht="21" customHeight="1">
      <c r="A173" s="427"/>
      <c r="B173" s="427"/>
      <c r="C173" s="584">
        <f>SUM(C136:C172)</f>
        <v>53427738.07000001</v>
      </c>
      <c r="D173" s="584">
        <f>SUM(D136:D172)</f>
        <v>53427738.06999999</v>
      </c>
      <c r="E173" s="416">
        <f>+D173-C173</f>
        <v>0</v>
      </c>
    </row>
    <row r="175" spans="1:4" ht="21" customHeight="1">
      <c r="A175" s="751" t="s">
        <v>30</v>
      </c>
      <c r="B175" s="751"/>
      <c r="C175" s="751"/>
      <c r="D175" s="751"/>
    </row>
    <row r="176" spans="1:4" ht="21" customHeight="1">
      <c r="A176" s="751" t="s">
        <v>141</v>
      </c>
      <c r="B176" s="751"/>
      <c r="C176" s="751"/>
      <c r="D176" s="751"/>
    </row>
    <row r="177" spans="1:4" ht="21" customHeight="1">
      <c r="A177" s="751" t="s">
        <v>907</v>
      </c>
      <c r="B177" s="751"/>
      <c r="C177" s="751"/>
      <c r="D177" s="751"/>
    </row>
    <row r="178" spans="1:4" ht="21" customHeight="1">
      <c r="A178" s="418" t="s">
        <v>32</v>
      </c>
      <c r="B178" s="418" t="s">
        <v>83</v>
      </c>
      <c r="C178" s="419" t="s">
        <v>84</v>
      </c>
      <c r="D178" s="419" t="s">
        <v>85</v>
      </c>
    </row>
    <row r="179" spans="1:4" ht="21" customHeight="1">
      <c r="A179" s="420" t="s">
        <v>86</v>
      </c>
      <c r="B179" s="421" t="s">
        <v>87</v>
      </c>
      <c r="C179" s="422"/>
      <c r="D179" s="423"/>
    </row>
    <row r="180" spans="1:4" ht="21" customHeight="1">
      <c r="A180" s="420" t="s">
        <v>893</v>
      </c>
      <c r="B180" s="421" t="s">
        <v>89</v>
      </c>
      <c r="C180" s="603">
        <v>512903.87</v>
      </c>
      <c r="D180" s="423"/>
    </row>
    <row r="181" spans="1:4" ht="21" customHeight="1">
      <c r="A181" s="420" t="s">
        <v>895</v>
      </c>
      <c r="B181" s="421" t="s">
        <v>89</v>
      </c>
      <c r="C181" s="603">
        <v>4691000</v>
      </c>
      <c r="D181" s="423"/>
    </row>
    <row r="182" spans="1:4" ht="21" customHeight="1">
      <c r="A182" s="420" t="s">
        <v>894</v>
      </c>
      <c r="B182" s="421" t="s">
        <v>89</v>
      </c>
      <c r="C182" s="604">
        <v>2849513.59</v>
      </c>
      <c r="D182" s="423"/>
    </row>
    <row r="183" spans="1:4" ht="21" customHeight="1">
      <c r="A183" s="420" t="s">
        <v>896</v>
      </c>
      <c r="B183" s="421" t="s">
        <v>89</v>
      </c>
      <c r="C183" s="603">
        <v>1460904.17</v>
      </c>
      <c r="D183" s="423"/>
    </row>
    <row r="184" spans="1:4" ht="21" customHeight="1">
      <c r="A184" s="420" t="s">
        <v>897</v>
      </c>
      <c r="B184" s="421" t="s">
        <v>89</v>
      </c>
      <c r="C184" s="609">
        <v>22759183.04</v>
      </c>
      <c r="D184" s="423"/>
    </row>
    <row r="185" spans="1:4" ht="21" customHeight="1">
      <c r="A185" s="420" t="s">
        <v>898</v>
      </c>
      <c r="B185" s="421" t="s">
        <v>89</v>
      </c>
      <c r="C185" s="603">
        <v>634406.66</v>
      </c>
      <c r="D185" s="423"/>
    </row>
    <row r="186" spans="1:5" ht="21" customHeight="1">
      <c r="A186" s="420" t="s">
        <v>899</v>
      </c>
      <c r="B186" s="421" t="s">
        <v>89</v>
      </c>
      <c r="C186" s="603">
        <v>11989080.54</v>
      </c>
      <c r="D186" s="423"/>
      <c r="E186" s="416">
        <f>SUM(C180:C186)</f>
        <v>44896991.87</v>
      </c>
    </row>
    <row r="187" spans="1:4" ht="21" customHeight="1">
      <c r="A187" s="420" t="s">
        <v>96</v>
      </c>
      <c r="B187" s="424">
        <v>701</v>
      </c>
      <c r="C187" s="603">
        <v>1681293.82</v>
      </c>
      <c r="D187" s="423"/>
    </row>
    <row r="188" spans="1:4" ht="21" customHeight="1">
      <c r="A188" s="420" t="s">
        <v>875</v>
      </c>
      <c r="B188" s="424" t="s">
        <v>98</v>
      </c>
      <c r="C188" s="603">
        <v>19926.25</v>
      </c>
      <c r="D188" s="423"/>
    </row>
    <row r="189" spans="1:4" ht="21" customHeight="1">
      <c r="A189" s="420" t="s">
        <v>99</v>
      </c>
      <c r="B189" s="597">
        <v>707</v>
      </c>
      <c r="C189" s="603">
        <v>100450</v>
      </c>
      <c r="D189" s="423"/>
    </row>
    <row r="190" spans="1:4" ht="21" customHeight="1">
      <c r="A190" s="420" t="s">
        <v>672</v>
      </c>
      <c r="B190" s="425" t="s">
        <v>673</v>
      </c>
      <c r="C190" s="603">
        <v>796190</v>
      </c>
      <c r="D190" s="423"/>
    </row>
    <row r="191" spans="1:4" ht="21" customHeight="1">
      <c r="A191" s="420" t="s">
        <v>100</v>
      </c>
      <c r="B191" s="421" t="s">
        <v>101</v>
      </c>
      <c r="C191" s="604">
        <v>97040</v>
      </c>
      <c r="D191" s="423"/>
    </row>
    <row r="192" spans="1:7" ht="21" customHeight="1">
      <c r="A192" s="420" t="s">
        <v>73</v>
      </c>
      <c r="B192" s="424">
        <v>100</v>
      </c>
      <c r="C192" s="604">
        <v>2465343.7</v>
      </c>
      <c r="D192" s="423"/>
      <c r="E192" s="415"/>
      <c r="F192" s="580"/>
      <c r="G192" s="415"/>
    </row>
    <row r="193" spans="1:7" ht="21" customHeight="1">
      <c r="A193" s="420" t="s">
        <v>46</v>
      </c>
      <c r="B193" s="424">
        <v>120</v>
      </c>
      <c r="C193" s="603">
        <v>81760</v>
      </c>
      <c r="D193" s="423"/>
      <c r="E193" s="415"/>
      <c r="F193" s="580"/>
      <c r="G193" s="415"/>
    </row>
    <row r="194" spans="1:7" ht="21" customHeight="1">
      <c r="A194" s="420" t="s">
        <v>74</v>
      </c>
      <c r="B194" s="424">
        <v>130</v>
      </c>
      <c r="C194" s="603">
        <v>1116990</v>
      </c>
      <c r="D194" s="423"/>
      <c r="E194" s="415"/>
      <c r="F194" s="580"/>
      <c r="G194" s="415"/>
    </row>
    <row r="195" spans="1:7" ht="21" customHeight="1">
      <c r="A195" s="420" t="s">
        <v>75</v>
      </c>
      <c r="B195" s="424">
        <v>200</v>
      </c>
      <c r="C195" s="603">
        <v>68200</v>
      </c>
      <c r="D195" s="423"/>
      <c r="E195" s="415"/>
      <c r="F195" s="580"/>
      <c r="G195" s="415"/>
    </row>
    <row r="196" spans="1:7" ht="21" customHeight="1">
      <c r="A196" s="420" t="s">
        <v>76</v>
      </c>
      <c r="B196" s="424">
        <v>250</v>
      </c>
      <c r="C196" s="603">
        <v>991152.9</v>
      </c>
      <c r="D196" s="423"/>
      <c r="E196" s="415"/>
      <c r="F196" s="580"/>
      <c r="G196" s="415"/>
    </row>
    <row r="197" spans="1:7" ht="21" customHeight="1">
      <c r="A197" s="420" t="s">
        <v>77</v>
      </c>
      <c r="B197" s="424">
        <v>270</v>
      </c>
      <c r="C197" s="603">
        <v>489561.32</v>
      </c>
      <c r="D197" s="423"/>
      <c r="E197" s="415"/>
      <c r="F197" s="580"/>
      <c r="G197" s="415"/>
    </row>
    <row r="198" spans="1:7" ht="21" customHeight="1">
      <c r="A198" s="420" t="s">
        <v>51</v>
      </c>
      <c r="B198" s="424">
        <v>300</v>
      </c>
      <c r="C198" s="603">
        <v>83394.92</v>
      </c>
      <c r="D198" s="423"/>
      <c r="E198" s="415"/>
      <c r="F198" s="580"/>
      <c r="G198" s="415"/>
    </row>
    <row r="199" spans="1:7" ht="21" customHeight="1">
      <c r="A199" s="420" t="s">
        <v>54</v>
      </c>
      <c r="B199" s="424">
        <v>450</v>
      </c>
      <c r="C199" s="603">
        <v>63000</v>
      </c>
      <c r="D199" s="423"/>
      <c r="E199" s="415"/>
      <c r="F199" s="580"/>
      <c r="G199" s="415"/>
    </row>
    <row r="200" spans="1:7" ht="21" customHeight="1">
      <c r="A200" s="420" t="s">
        <v>55</v>
      </c>
      <c r="B200" s="424">
        <v>500</v>
      </c>
      <c r="C200" s="422"/>
      <c r="D200" s="423"/>
      <c r="E200" s="415"/>
      <c r="F200" s="580"/>
      <c r="G200" s="415"/>
    </row>
    <row r="201" spans="1:7" ht="21" customHeight="1">
      <c r="A201" s="420" t="s">
        <v>2</v>
      </c>
      <c r="B201" s="426" t="s">
        <v>102</v>
      </c>
      <c r="C201" s="603">
        <v>913017</v>
      </c>
      <c r="D201" s="423"/>
      <c r="E201" s="415"/>
      <c r="F201" s="583" t="s">
        <v>885</v>
      </c>
      <c r="G201" s="581" t="s">
        <v>886</v>
      </c>
    </row>
    <row r="202" spans="1:7" ht="21" customHeight="1">
      <c r="A202" s="420" t="s">
        <v>52</v>
      </c>
      <c r="B202" s="424">
        <v>400</v>
      </c>
      <c r="C202" s="603">
        <v>1730840</v>
      </c>
      <c r="D202" s="423"/>
      <c r="E202" s="415"/>
      <c r="F202" s="580">
        <f>SUM(C192:C202)</f>
        <v>8003259.840000001</v>
      </c>
      <c r="G202" s="580">
        <v>8003259.84</v>
      </c>
    </row>
    <row r="203" spans="1:4" ht="21" customHeight="1">
      <c r="A203" s="420" t="s">
        <v>877</v>
      </c>
      <c r="B203" s="424" t="s">
        <v>879</v>
      </c>
      <c r="C203" s="603">
        <v>629000</v>
      </c>
      <c r="D203" s="423"/>
    </row>
    <row r="204" spans="1:4" ht="21" customHeight="1">
      <c r="A204" s="420" t="s">
        <v>878</v>
      </c>
      <c r="B204" s="424" t="s">
        <v>879</v>
      </c>
      <c r="C204" s="603">
        <v>4095900</v>
      </c>
      <c r="D204" s="423"/>
    </row>
    <row r="205" spans="1:4" ht="21" customHeight="1">
      <c r="A205" s="420" t="s">
        <v>902</v>
      </c>
      <c r="B205" s="424"/>
      <c r="C205" s="603">
        <v>15525</v>
      </c>
      <c r="D205" s="423"/>
    </row>
    <row r="206" spans="1:4" ht="21" customHeight="1">
      <c r="A206" s="420" t="s">
        <v>903</v>
      </c>
      <c r="B206" s="424"/>
      <c r="C206" s="603">
        <v>465000</v>
      </c>
      <c r="D206" s="423"/>
    </row>
    <row r="207" spans="1:4" ht="21" customHeight="1">
      <c r="A207" s="420" t="s">
        <v>913</v>
      </c>
      <c r="B207" s="424"/>
      <c r="C207" s="603"/>
      <c r="D207" s="603"/>
    </row>
    <row r="208" spans="1:6" ht="21" customHeight="1">
      <c r="A208" s="420" t="s">
        <v>103</v>
      </c>
      <c r="B208" s="424">
        <v>821</v>
      </c>
      <c r="C208" s="422"/>
      <c r="D208" s="605">
        <v>28524602.61</v>
      </c>
      <c r="E208" s="417">
        <v>28524602.610000003</v>
      </c>
      <c r="F208" s="417">
        <f>+E208-D208</f>
        <v>0</v>
      </c>
    </row>
    <row r="209" spans="1:4" ht="21" customHeight="1">
      <c r="A209" s="420" t="s">
        <v>104</v>
      </c>
      <c r="B209" s="424">
        <v>900</v>
      </c>
      <c r="C209" s="422"/>
      <c r="D209" s="605">
        <v>860878.34</v>
      </c>
    </row>
    <row r="210" spans="1:4" ht="21" customHeight="1" hidden="1">
      <c r="A210" s="420" t="s">
        <v>105</v>
      </c>
      <c r="B210" s="424"/>
      <c r="C210" s="421"/>
      <c r="D210" s="423"/>
    </row>
    <row r="211" spans="1:4" ht="21" customHeight="1" hidden="1">
      <c r="A211" s="420" t="s">
        <v>106</v>
      </c>
      <c r="B211" s="424">
        <v>600</v>
      </c>
      <c r="C211" s="421"/>
      <c r="D211" s="423">
        <v>0</v>
      </c>
    </row>
    <row r="212" spans="1:4" ht="21" customHeight="1">
      <c r="A212" s="420" t="s">
        <v>107</v>
      </c>
      <c r="B212" s="424">
        <v>700</v>
      </c>
      <c r="C212" s="421"/>
      <c r="D212" s="608">
        <f>15374732.61+0.97</f>
        <v>15374733.58</v>
      </c>
    </row>
    <row r="213" spans="1:4" ht="21" customHeight="1">
      <c r="A213" s="420" t="s">
        <v>108</v>
      </c>
      <c r="B213" s="424" t="s">
        <v>900</v>
      </c>
      <c r="C213" s="421"/>
      <c r="D213" s="605">
        <v>15305505.59</v>
      </c>
    </row>
    <row r="214" spans="1:4" ht="21" customHeight="1" hidden="1">
      <c r="A214" s="420" t="s">
        <v>109</v>
      </c>
      <c r="B214" s="424" t="s">
        <v>671</v>
      </c>
      <c r="C214" s="421"/>
      <c r="D214" s="423"/>
    </row>
    <row r="215" spans="1:4" ht="21" customHeight="1">
      <c r="A215" s="420" t="s">
        <v>110</v>
      </c>
      <c r="B215" s="424" t="s">
        <v>89</v>
      </c>
      <c r="C215" s="421"/>
      <c r="D215" s="605">
        <v>734856.66</v>
      </c>
    </row>
    <row r="216" spans="1:4" ht="21" customHeight="1" hidden="1">
      <c r="A216" s="420" t="s">
        <v>111</v>
      </c>
      <c r="B216" s="424"/>
      <c r="C216" s="421"/>
      <c r="D216" s="423"/>
    </row>
    <row r="217" spans="1:5" ht="21" customHeight="1">
      <c r="A217" s="427"/>
      <c r="B217" s="427"/>
      <c r="C217" s="584">
        <f>SUM(C179:C216)</f>
        <v>60800576.78</v>
      </c>
      <c r="D217" s="584">
        <f>SUM(D179:D216)</f>
        <v>60800576.78</v>
      </c>
      <c r="E217" s="416">
        <f>+D217-C217</f>
        <v>0</v>
      </c>
    </row>
  </sheetData>
  <sheetProtection/>
  <mergeCells count="15">
    <mergeCell ref="A1:D1"/>
    <mergeCell ref="A2:D2"/>
    <mergeCell ref="A3:D3"/>
    <mergeCell ref="A46:D46"/>
    <mergeCell ref="A47:D47"/>
    <mergeCell ref="A48:D48"/>
    <mergeCell ref="A175:D175"/>
    <mergeCell ref="A176:D176"/>
    <mergeCell ref="A177:D177"/>
    <mergeCell ref="A91:D91"/>
    <mergeCell ref="A92:D92"/>
    <mergeCell ref="A93:D93"/>
    <mergeCell ref="A132:D132"/>
    <mergeCell ref="A133:D133"/>
    <mergeCell ref="A134:D134"/>
  </mergeCells>
  <printOptions horizontalCentered="1"/>
  <pageMargins left="0.4724409448818898" right="0.1968503937007874" top="0.15748031496062992" bottom="0.1968503937007874" header="0.15748031496062992" footer="0.15748031496062992"/>
  <pageSetup horizontalDpi="600" verticalDpi="600" orientation="portrait" paperSize="9" scale="92" r:id="rId1"/>
  <rowBreaks count="1" manualBreakCount="1">
    <brk id="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4"/>
  <sheetViews>
    <sheetView zoomScaleSheetLayoutView="100" zoomScalePageLayoutView="0" workbookViewId="0" topLeftCell="A156">
      <selection activeCell="A172" sqref="A172:D214"/>
    </sheetView>
  </sheetViews>
  <sheetFormatPr defaultColWidth="9.140625" defaultRowHeight="21" customHeight="1"/>
  <cols>
    <col min="1" max="1" width="49.7109375" style="50" customWidth="1"/>
    <col min="2" max="2" width="7.57421875" style="50" customWidth="1"/>
    <col min="3" max="3" width="16.140625" style="64" customWidth="1"/>
    <col min="4" max="4" width="15.7109375" style="64" customWidth="1"/>
    <col min="5" max="5" width="15.421875" style="414" customWidth="1"/>
    <col min="6" max="6" width="15.421875" style="417" bestFit="1" customWidth="1"/>
    <col min="7" max="7" width="50.8515625" style="414" customWidth="1"/>
    <col min="8" max="8" width="7.57421875" style="414" bestFit="1" customWidth="1"/>
    <col min="9" max="9" width="13.00390625" style="50" bestFit="1" customWidth="1"/>
    <col min="10" max="10" width="12.00390625" style="50" bestFit="1" customWidth="1"/>
    <col min="11" max="11" width="15.421875" style="50" bestFit="1" customWidth="1"/>
    <col min="12" max="16384" width="9.00390625" style="50" customWidth="1"/>
  </cols>
  <sheetData>
    <row r="1" spans="1:11" ht="21" customHeight="1">
      <c r="A1" s="750" t="s">
        <v>30</v>
      </c>
      <c r="B1" s="750"/>
      <c r="C1" s="750"/>
      <c r="D1" s="750"/>
      <c r="G1" s="750" t="s">
        <v>30</v>
      </c>
      <c r="H1" s="750"/>
      <c r="I1" s="750"/>
      <c r="J1" s="750"/>
      <c r="K1" s="414"/>
    </row>
    <row r="2" spans="1:11" ht="21" customHeight="1">
      <c r="A2" s="750" t="s">
        <v>669</v>
      </c>
      <c r="B2" s="750"/>
      <c r="C2" s="750"/>
      <c r="D2" s="750"/>
      <c r="G2" s="752" t="s">
        <v>914</v>
      </c>
      <c r="H2" s="752"/>
      <c r="I2" s="752"/>
      <c r="J2" s="752"/>
      <c r="K2" s="414"/>
    </row>
    <row r="3" spans="1:11" ht="21" customHeight="1">
      <c r="A3" s="750" t="s">
        <v>732</v>
      </c>
      <c r="B3" s="750"/>
      <c r="C3" s="750"/>
      <c r="D3" s="750"/>
      <c r="G3" s="750" t="s">
        <v>732</v>
      </c>
      <c r="H3" s="750"/>
      <c r="I3" s="750"/>
      <c r="J3" s="750"/>
      <c r="K3" s="414"/>
    </row>
    <row r="4" spans="1:11" ht="21" customHeight="1">
      <c r="A4" s="51" t="s">
        <v>32</v>
      </c>
      <c r="B4" s="51" t="s">
        <v>83</v>
      </c>
      <c r="C4" s="52" t="s">
        <v>84</v>
      </c>
      <c r="D4" s="52" t="s">
        <v>85</v>
      </c>
      <c r="G4" s="51" t="s">
        <v>32</v>
      </c>
      <c r="H4" s="51" t="s">
        <v>83</v>
      </c>
      <c r="I4" s="52" t="s">
        <v>84</v>
      </c>
      <c r="J4" s="52" t="s">
        <v>85</v>
      </c>
      <c r="K4" s="414"/>
    </row>
    <row r="5" spans="1:11" ht="21" customHeight="1">
      <c r="A5" s="53" t="s">
        <v>86</v>
      </c>
      <c r="B5" s="54" t="s">
        <v>87</v>
      </c>
      <c r="C5" s="55">
        <v>0</v>
      </c>
      <c r="D5" s="56">
        <v>0</v>
      </c>
      <c r="G5" s="53" t="s">
        <v>86</v>
      </c>
      <c r="H5" s="54" t="s">
        <v>87</v>
      </c>
      <c r="I5" s="55">
        <v>0</v>
      </c>
      <c r="J5" s="56">
        <v>0</v>
      </c>
      <c r="K5" s="414"/>
    </row>
    <row r="6" spans="1:11" ht="21" customHeight="1">
      <c r="A6" s="53" t="s">
        <v>88</v>
      </c>
      <c r="B6" s="54" t="s">
        <v>89</v>
      </c>
      <c r="C6" s="55">
        <v>238.18</v>
      </c>
      <c r="D6" s="56">
        <v>0</v>
      </c>
      <c r="G6" s="53" t="s">
        <v>88</v>
      </c>
      <c r="H6" s="54" t="s">
        <v>89</v>
      </c>
      <c r="I6" s="55">
        <v>238.18</v>
      </c>
      <c r="J6" s="56">
        <v>0</v>
      </c>
      <c r="K6" s="414"/>
    </row>
    <row r="7" spans="1:11" ht="21" customHeight="1">
      <c r="A7" s="53" t="s">
        <v>90</v>
      </c>
      <c r="B7" s="54" t="s">
        <v>89</v>
      </c>
      <c r="C7" s="55">
        <v>4691000</v>
      </c>
      <c r="D7" s="56">
        <v>0</v>
      </c>
      <c r="G7" s="53" t="s">
        <v>90</v>
      </c>
      <c r="H7" s="54" t="s">
        <v>89</v>
      </c>
      <c r="I7" s="55">
        <v>4691000</v>
      </c>
      <c r="J7" s="56">
        <v>0</v>
      </c>
      <c r="K7" s="414"/>
    </row>
    <row r="8" spans="1:11" ht="21" customHeight="1">
      <c r="A8" s="53" t="s">
        <v>91</v>
      </c>
      <c r="B8" s="54" t="s">
        <v>89</v>
      </c>
      <c r="C8" s="54">
        <v>1886851.69</v>
      </c>
      <c r="D8" s="56">
        <v>0</v>
      </c>
      <c r="G8" s="53" t="s">
        <v>91</v>
      </c>
      <c r="H8" s="54" t="s">
        <v>89</v>
      </c>
      <c r="I8" s="54">
        <v>1886851.69</v>
      </c>
      <c r="J8" s="56">
        <v>0</v>
      </c>
      <c r="K8" s="414"/>
    </row>
    <row r="9" spans="1:11" ht="21" customHeight="1">
      <c r="A9" s="53" t="s">
        <v>92</v>
      </c>
      <c r="B9" s="54" t="s">
        <v>89</v>
      </c>
      <c r="C9" s="54">
        <v>0</v>
      </c>
      <c r="D9" s="56">
        <v>0</v>
      </c>
      <c r="G9" s="53" t="s">
        <v>92</v>
      </c>
      <c r="H9" s="54" t="s">
        <v>89</v>
      </c>
      <c r="I9" s="54">
        <v>0</v>
      </c>
      <c r="J9" s="56">
        <v>0</v>
      </c>
      <c r="K9" s="414"/>
    </row>
    <row r="10" spans="1:11" ht="21" customHeight="1">
      <c r="A10" s="53" t="s">
        <v>93</v>
      </c>
      <c r="B10" s="54" t="s">
        <v>89</v>
      </c>
      <c r="C10" s="55">
        <v>12700603.28</v>
      </c>
      <c r="D10" s="56">
        <v>0</v>
      </c>
      <c r="G10" s="53" t="s">
        <v>93</v>
      </c>
      <c r="H10" s="54" t="s">
        <v>89</v>
      </c>
      <c r="I10" s="55">
        <f>12700604.25+0.97</f>
        <v>12700605.22</v>
      </c>
      <c r="J10" s="56">
        <v>0</v>
      </c>
      <c r="K10" s="414"/>
    </row>
    <row r="11" spans="1:11" ht="21" customHeight="1">
      <c r="A11" s="53" t="s">
        <v>94</v>
      </c>
      <c r="B11" s="54" t="s">
        <v>89</v>
      </c>
      <c r="C11" s="55">
        <v>626968.66</v>
      </c>
      <c r="D11" s="56">
        <v>0</v>
      </c>
      <c r="G11" s="53" t="s">
        <v>94</v>
      </c>
      <c r="H11" s="54" t="s">
        <v>89</v>
      </c>
      <c r="I11" s="55">
        <v>626968.66</v>
      </c>
      <c r="J11" s="56">
        <v>0</v>
      </c>
      <c r="K11" s="414"/>
    </row>
    <row r="12" spans="1:11" ht="21" customHeight="1">
      <c r="A12" s="53" t="s">
        <v>95</v>
      </c>
      <c r="B12" s="54" t="s">
        <v>89</v>
      </c>
      <c r="C12" s="55">
        <v>11939885.34</v>
      </c>
      <c r="D12" s="56">
        <v>0</v>
      </c>
      <c r="E12" s="416">
        <f>SUM(C6:C12)</f>
        <v>31845547.15</v>
      </c>
      <c r="G12" s="53" t="s">
        <v>95</v>
      </c>
      <c r="H12" s="54" t="s">
        <v>89</v>
      </c>
      <c r="I12" s="55">
        <v>11939885.34</v>
      </c>
      <c r="J12" s="56">
        <v>0</v>
      </c>
      <c r="K12" s="416">
        <f>SUM(I6:I12)</f>
        <v>31845549.09</v>
      </c>
    </row>
    <row r="13" spans="1:11" ht="21" customHeight="1">
      <c r="A13" s="53" t="s">
        <v>96</v>
      </c>
      <c r="B13" s="57">
        <v>701</v>
      </c>
      <c r="C13" s="55">
        <v>1681293.82</v>
      </c>
      <c r="D13" s="56">
        <v>0</v>
      </c>
      <c r="G13" s="53" t="s">
        <v>96</v>
      </c>
      <c r="H13" s="57">
        <v>701</v>
      </c>
      <c r="I13" s="55">
        <v>1681293.82</v>
      </c>
      <c r="J13" s="56">
        <v>0</v>
      </c>
      <c r="K13" s="414"/>
    </row>
    <row r="14" spans="1:11" ht="21" customHeight="1">
      <c r="A14" s="53" t="s">
        <v>97</v>
      </c>
      <c r="B14" s="57" t="s">
        <v>98</v>
      </c>
      <c r="C14" s="55">
        <v>30140.65</v>
      </c>
      <c r="D14" s="56"/>
      <c r="G14" s="53" t="s">
        <v>97</v>
      </c>
      <c r="H14" s="57" t="s">
        <v>98</v>
      </c>
      <c r="I14" s="55">
        <v>30140.65</v>
      </c>
      <c r="J14" s="56"/>
      <c r="K14" s="414"/>
    </row>
    <row r="15" spans="1:11" ht="21" customHeight="1">
      <c r="A15" s="53" t="s">
        <v>99</v>
      </c>
      <c r="B15" s="54"/>
      <c r="C15" s="55">
        <v>107450</v>
      </c>
      <c r="D15" s="56">
        <v>0</v>
      </c>
      <c r="G15" s="53" t="s">
        <v>99</v>
      </c>
      <c r="H15" s="54"/>
      <c r="I15" s="55">
        <v>107450</v>
      </c>
      <c r="J15" s="56">
        <v>0</v>
      </c>
      <c r="K15" s="414"/>
    </row>
    <row r="16" spans="1:11" ht="21" customHeight="1">
      <c r="A16" s="53" t="s">
        <v>100</v>
      </c>
      <c r="B16" s="54" t="s">
        <v>101</v>
      </c>
      <c r="C16" s="54">
        <v>1440</v>
      </c>
      <c r="D16" s="56">
        <v>0</v>
      </c>
      <c r="G16" s="53" t="s">
        <v>100</v>
      </c>
      <c r="H16" s="54" t="s">
        <v>101</v>
      </c>
      <c r="I16" s="54">
        <v>1440</v>
      </c>
      <c r="J16" s="56">
        <v>0</v>
      </c>
      <c r="K16" s="414"/>
    </row>
    <row r="17" spans="1:11" ht="21" customHeight="1">
      <c r="A17" s="53" t="s">
        <v>73</v>
      </c>
      <c r="B17" s="57">
        <v>100</v>
      </c>
      <c r="C17" s="54"/>
      <c r="D17" s="56"/>
      <c r="G17" s="53" t="s">
        <v>73</v>
      </c>
      <c r="H17" s="57">
        <v>100</v>
      </c>
      <c r="I17" s="54"/>
      <c r="J17" s="56"/>
      <c r="K17" s="414"/>
    </row>
    <row r="18" spans="1:11" ht="21" customHeight="1">
      <c r="A18" s="53" t="s">
        <v>46</v>
      </c>
      <c r="B18" s="57">
        <v>120</v>
      </c>
      <c r="C18" s="55"/>
      <c r="D18" s="56"/>
      <c r="G18" s="53" t="s">
        <v>46</v>
      </c>
      <c r="H18" s="57">
        <v>120</v>
      </c>
      <c r="I18" s="55"/>
      <c r="J18" s="56"/>
      <c r="K18" s="414"/>
    </row>
    <row r="19" spans="1:11" ht="21" customHeight="1">
      <c r="A19" s="53" t="s">
        <v>74</v>
      </c>
      <c r="B19" s="57">
        <v>130</v>
      </c>
      <c r="C19" s="55"/>
      <c r="D19" s="56"/>
      <c r="G19" s="53" t="s">
        <v>74</v>
      </c>
      <c r="H19" s="57">
        <v>130</v>
      </c>
      <c r="I19" s="55"/>
      <c r="J19" s="56"/>
      <c r="K19" s="414"/>
    </row>
    <row r="20" spans="1:11" ht="21" customHeight="1">
      <c r="A20" s="53" t="s">
        <v>75</v>
      </c>
      <c r="B20" s="57">
        <v>200</v>
      </c>
      <c r="C20" s="55"/>
      <c r="D20" s="56"/>
      <c r="G20" s="53" t="s">
        <v>75</v>
      </c>
      <c r="H20" s="57">
        <v>200</v>
      </c>
      <c r="I20" s="55"/>
      <c r="J20" s="56"/>
      <c r="K20" s="414"/>
    </row>
    <row r="21" spans="1:11" ht="21" customHeight="1">
      <c r="A21" s="53" t="s">
        <v>76</v>
      </c>
      <c r="B21" s="57">
        <v>250</v>
      </c>
      <c r="C21" s="55"/>
      <c r="D21" s="56"/>
      <c r="G21" s="53" t="s">
        <v>76</v>
      </c>
      <c r="H21" s="57">
        <v>250</v>
      </c>
      <c r="I21" s="55"/>
      <c r="J21" s="56"/>
      <c r="K21" s="414"/>
    </row>
    <row r="22" spans="1:11" ht="21" customHeight="1">
      <c r="A22" s="53" t="s">
        <v>77</v>
      </c>
      <c r="B22" s="57">
        <v>270</v>
      </c>
      <c r="C22" s="55"/>
      <c r="D22" s="56"/>
      <c r="G22" s="53" t="s">
        <v>77</v>
      </c>
      <c r="H22" s="57">
        <v>270</v>
      </c>
      <c r="I22" s="55"/>
      <c r="J22" s="56"/>
      <c r="K22" s="414"/>
    </row>
    <row r="23" spans="1:11" ht="21" customHeight="1">
      <c r="A23" s="53" t="s">
        <v>51</v>
      </c>
      <c r="B23" s="57">
        <v>300</v>
      </c>
      <c r="C23" s="55"/>
      <c r="D23" s="56"/>
      <c r="G23" s="53" t="s">
        <v>51</v>
      </c>
      <c r="H23" s="57">
        <v>300</v>
      </c>
      <c r="I23" s="55"/>
      <c r="J23" s="56"/>
      <c r="K23" s="414"/>
    </row>
    <row r="24" spans="1:11" ht="21" customHeight="1">
      <c r="A24" s="53" t="s">
        <v>54</v>
      </c>
      <c r="B24" s="57">
        <v>450</v>
      </c>
      <c r="C24" s="55"/>
      <c r="D24" s="56"/>
      <c r="G24" s="53" t="s">
        <v>54</v>
      </c>
      <c r="H24" s="57">
        <v>450</v>
      </c>
      <c r="I24" s="55"/>
      <c r="J24" s="56"/>
      <c r="K24" s="414"/>
    </row>
    <row r="25" spans="1:11" ht="21" customHeight="1">
      <c r="A25" s="53" t="s">
        <v>55</v>
      </c>
      <c r="B25" s="57">
        <v>500</v>
      </c>
      <c r="C25" s="55"/>
      <c r="D25" s="56"/>
      <c r="G25" s="53" t="s">
        <v>55</v>
      </c>
      <c r="H25" s="57">
        <v>500</v>
      </c>
      <c r="I25" s="55"/>
      <c r="J25" s="56"/>
      <c r="K25" s="414"/>
    </row>
    <row r="26" spans="1:11" ht="21" customHeight="1">
      <c r="A26" s="53" t="s">
        <v>2</v>
      </c>
      <c r="B26" s="58" t="s">
        <v>102</v>
      </c>
      <c r="C26" s="55"/>
      <c r="D26" s="56"/>
      <c r="G26" s="53" t="s">
        <v>2</v>
      </c>
      <c r="H26" s="58" t="s">
        <v>102</v>
      </c>
      <c r="I26" s="55"/>
      <c r="J26" s="56"/>
      <c r="K26" s="414"/>
    </row>
    <row r="27" spans="1:11" ht="21" customHeight="1">
      <c r="A27" s="53" t="s">
        <v>52</v>
      </c>
      <c r="B27" s="57">
        <v>400</v>
      </c>
      <c r="C27" s="55"/>
      <c r="D27" s="56"/>
      <c r="G27" s="53" t="s">
        <v>52</v>
      </c>
      <c r="H27" s="57">
        <v>400</v>
      </c>
      <c r="I27" s="55"/>
      <c r="J27" s="56"/>
      <c r="K27" s="414"/>
    </row>
    <row r="28" spans="1:11" ht="21" customHeight="1">
      <c r="A28" s="53" t="s">
        <v>103</v>
      </c>
      <c r="B28" s="57">
        <v>821</v>
      </c>
      <c r="C28" s="55"/>
      <c r="D28" s="56"/>
      <c r="G28" s="53" t="s">
        <v>103</v>
      </c>
      <c r="H28" s="57">
        <v>821</v>
      </c>
      <c r="I28" s="55"/>
      <c r="J28" s="56"/>
      <c r="K28" s="414"/>
    </row>
    <row r="29" spans="1:11" ht="21" customHeight="1">
      <c r="A29" s="53" t="s">
        <v>104</v>
      </c>
      <c r="B29" s="57">
        <v>900</v>
      </c>
      <c r="C29" s="55"/>
      <c r="D29" s="56">
        <v>1205635.4</v>
      </c>
      <c r="G29" s="53" t="s">
        <v>104</v>
      </c>
      <c r="H29" s="57">
        <v>900</v>
      </c>
      <c r="I29" s="55"/>
      <c r="J29" s="56">
        <v>1205635.4</v>
      </c>
      <c r="K29" s="414"/>
    </row>
    <row r="30" spans="1:11" ht="21" customHeight="1">
      <c r="A30" s="53" t="s">
        <v>105</v>
      </c>
      <c r="B30" s="57"/>
      <c r="C30" s="54"/>
      <c r="D30" s="56">
        <v>259300</v>
      </c>
      <c r="G30" s="53" t="s">
        <v>105</v>
      </c>
      <c r="H30" s="57"/>
      <c r="I30" s="54"/>
      <c r="J30" s="56">
        <v>259300</v>
      </c>
      <c r="K30" s="414"/>
    </row>
    <row r="31" spans="1:11" ht="21" customHeight="1">
      <c r="A31" s="53" t="s">
        <v>106</v>
      </c>
      <c r="B31" s="57">
        <v>600</v>
      </c>
      <c r="C31" s="54"/>
      <c r="D31" s="56">
        <v>354400</v>
      </c>
      <c r="G31" s="53" t="s">
        <v>106</v>
      </c>
      <c r="H31" s="57">
        <v>600</v>
      </c>
      <c r="I31" s="54"/>
      <c r="J31" s="56">
        <v>354400</v>
      </c>
      <c r="K31" s="414"/>
    </row>
    <row r="32" spans="1:11" ht="21" customHeight="1">
      <c r="A32" s="53" t="s">
        <v>107</v>
      </c>
      <c r="B32" s="57">
        <v>700</v>
      </c>
      <c r="C32" s="54"/>
      <c r="D32" s="56">
        <v>16064471.97</v>
      </c>
      <c r="G32" s="53" t="s">
        <v>107</v>
      </c>
      <c r="H32" s="57">
        <v>700</v>
      </c>
      <c r="I32" s="54"/>
      <c r="J32" s="56">
        <f>16064472.94+0.97</f>
        <v>16064473.91</v>
      </c>
      <c r="K32" s="414"/>
    </row>
    <row r="33" spans="1:11" ht="21" customHeight="1">
      <c r="A33" s="53" t="s">
        <v>108</v>
      </c>
      <c r="B33" s="57"/>
      <c r="C33" s="54"/>
      <c r="D33" s="56">
        <v>15305505.59</v>
      </c>
      <c r="G33" s="53" t="s">
        <v>108</v>
      </c>
      <c r="H33" s="57"/>
      <c r="I33" s="54"/>
      <c r="J33" s="56">
        <v>15305505.59</v>
      </c>
      <c r="K33" s="414"/>
    </row>
    <row r="34" spans="1:11" ht="21" customHeight="1">
      <c r="A34" s="53" t="s">
        <v>109</v>
      </c>
      <c r="B34" s="57">
        <v>700</v>
      </c>
      <c r="C34" s="54"/>
      <c r="D34" s="56">
        <v>1440</v>
      </c>
      <c r="G34" s="53" t="s">
        <v>109</v>
      </c>
      <c r="H34" s="57">
        <v>700</v>
      </c>
      <c r="I34" s="54"/>
      <c r="J34" s="56">
        <v>1440</v>
      </c>
      <c r="K34" s="414"/>
    </row>
    <row r="35" spans="1:11" ht="21" customHeight="1">
      <c r="A35" s="53" t="s">
        <v>110</v>
      </c>
      <c r="B35" s="57"/>
      <c r="C35" s="54"/>
      <c r="D35" s="56">
        <v>734418.66</v>
      </c>
      <c r="G35" s="53" t="s">
        <v>110</v>
      </c>
      <c r="H35" s="57"/>
      <c r="I35" s="54"/>
      <c r="J35" s="56">
        <v>734418.66</v>
      </c>
      <c r="K35" s="414"/>
    </row>
    <row r="36" spans="1:11" ht="21" customHeight="1">
      <c r="A36" s="53" t="s">
        <v>111</v>
      </c>
      <c r="B36" s="57"/>
      <c r="C36" s="54">
        <v>259300</v>
      </c>
      <c r="D36" s="56"/>
      <c r="G36" s="53" t="s">
        <v>111</v>
      </c>
      <c r="H36" s="57"/>
      <c r="I36" s="54">
        <v>259300</v>
      </c>
      <c r="J36" s="56"/>
      <c r="K36" s="414"/>
    </row>
    <row r="37" spans="1:11" ht="21" customHeight="1">
      <c r="A37" s="53"/>
      <c r="B37" s="57"/>
      <c r="C37" s="54">
        <v>0</v>
      </c>
      <c r="D37" s="56">
        <v>0</v>
      </c>
      <c r="G37" s="53"/>
      <c r="H37" s="57"/>
      <c r="I37" s="54">
        <v>0</v>
      </c>
      <c r="J37" s="56">
        <v>0</v>
      </c>
      <c r="K37" s="414"/>
    </row>
    <row r="38" spans="1:11" ht="21" customHeight="1">
      <c r="A38" s="53"/>
      <c r="B38" s="57"/>
      <c r="C38" s="54"/>
      <c r="D38" s="56"/>
      <c r="G38" s="53"/>
      <c r="H38" s="57"/>
      <c r="I38" s="54"/>
      <c r="J38" s="56"/>
      <c r="K38" s="414"/>
    </row>
    <row r="39" spans="1:11" ht="21" customHeight="1">
      <c r="A39" s="53"/>
      <c r="B39" s="57"/>
      <c r="C39" s="55"/>
      <c r="D39" s="56"/>
      <c r="G39" s="53"/>
      <c r="H39" s="57"/>
      <c r="I39" s="55"/>
      <c r="J39" s="56"/>
      <c r="K39" s="414"/>
    </row>
    <row r="40" spans="1:11" ht="21" customHeight="1">
      <c r="A40" s="59"/>
      <c r="B40" s="59"/>
      <c r="C40" s="598">
        <f>SUM(C5:C39)</f>
        <v>33925171.62</v>
      </c>
      <c r="D40" s="586">
        <f>SUM(D5:D39)</f>
        <v>33925171.62</v>
      </c>
      <c r="G40" s="59"/>
      <c r="H40" s="59"/>
      <c r="I40" s="598">
        <f>SUM(I5:I39)</f>
        <v>33925173.56</v>
      </c>
      <c r="J40" s="586">
        <f>SUM(J5:J39)</f>
        <v>33925173.559999995</v>
      </c>
      <c r="K40" s="414"/>
    </row>
    <row r="41" spans="3:8" s="411" customFormat="1" ht="21" customHeight="1">
      <c r="C41" s="412"/>
      <c r="D41" s="413"/>
      <c r="E41" s="415"/>
      <c r="F41" s="580"/>
      <c r="G41" s="415"/>
      <c r="H41" s="415"/>
    </row>
    <row r="42" spans="3:8" s="411" customFormat="1" ht="21" customHeight="1">
      <c r="C42" s="412"/>
      <c r="D42" s="413"/>
      <c r="E42" s="415"/>
      <c r="F42" s="580"/>
      <c r="G42" s="415"/>
      <c r="H42" s="415"/>
    </row>
    <row r="43" spans="1:11" ht="21" customHeight="1">
      <c r="A43" s="751" t="s">
        <v>30</v>
      </c>
      <c r="B43" s="751"/>
      <c r="C43" s="751"/>
      <c r="D43" s="751"/>
      <c r="G43" s="751" t="s">
        <v>30</v>
      </c>
      <c r="H43" s="751"/>
      <c r="I43" s="751"/>
      <c r="J43" s="751"/>
      <c r="K43" s="414"/>
    </row>
    <row r="44" spans="1:11" ht="21" customHeight="1">
      <c r="A44" s="751" t="s">
        <v>141</v>
      </c>
      <c r="B44" s="751"/>
      <c r="C44" s="751"/>
      <c r="D44" s="751"/>
      <c r="G44" s="751" t="s">
        <v>141</v>
      </c>
      <c r="H44" s="751"/>
      <c r="I44" s="751"/>
      <c r="J44" s="751"/>
      <c r="K44" s="414"/>
    </row>
    <row r="45" spans="1:11" ht="21" customHeight="1">
      <c r="A45" s="751" t="s">
        <v>670</v>
      </c>
      <c r="B45" s="751"/>
      <c r="C45" s="751"/>
      <c r="D45" s="751"/>
      <c r="G45" s="751" t="s">
        <v>670</v>
      </c>
      <c r="H45" s="751"/>
      <c r="I45" s="751"/>
      <c r="J45" s="751"/>
      <c r="K45" s="414"/>
    </row>
    <row r="46" spans="1:11" ht="21" customHeight="1">
      <c r="A46" s="418" t="s">
        <v>32</v>
      </c>
      <c r="B46" s="418" t="s">
        <v>83</v>
      </c>
      <c r="C46" s="419" t="s">
        <v>84</v>
      </c>
      <c r="D46" s="419" t="s">
        <v>85</v>
      </c>
      <c r="G46" s="418" t="s">
        <v>32</v>
      </c>
      <c r="H46" s="418" t="s">
        <v>83</v>
      </c>
      <c r="I46" s="419" t="s">
        <v>84</v>
      </c>
      <c r="J46" s="419" t="s">
        <v>85</v>
      </c>
      <c r="K46" s="414"/>
    </row>
    <row r="47" spans="1:11" ht="21" customHeight="1">
      <c r="A47" s="420" t="s">
        <v>86</v>
      </c>
      <c r="B47" s="421" t="s">
        <v>87</v>
      </c>
      <c r="C47" s="422">
        <v>0</v>
      </c>
      <c r="D47" s="423"/>
      <c r="G47" s="420" t="s">
        <v>86</v>
      </c>
      <c r="H47" s="421" t="s">
        <v>87</v>
      </c>
      <c r="I47" s="422">
        <v>0</v>
      </c>
      <c r="J47" s="423"/>
      <c r="K47" s="414"/>
    </row>
    <row r="48" spans="1:11" ht="21" customHeight="1">
      <c r="A48" s="420" t="s">
        <v>88</v>
      </c>
      <c r="B48" s="421" t="s">
        <v>89</v>
      </c>
      <c r="C48" s="422">
        <v>238.18</v>
      </c>
      <c r="D48" s="423"/>
      <c r="G48" s="420" t="s">
        <v>88</v>
      </c>
      <c r="H48" s="421" t="s">
        <v>89</v>
      </c>
      <c r="I48" s="422">
        <v>238.18</v>
      </c>
      <c r="J48" s="423"/>
      <c r="K48" s="414"/>
    </row>
    <row r="49" spans="1:11" ht="21" customHeight="1">
      <c r="A49" s="420" t="s">
        <v>90</v>
      </c>
      <c r="B49" s="421" t="s">
        <v>89</v>
      </c>
      <c r="C49" s="422">
        <v>4691000</v>
      </c>
      <c r="D49" s="423"/>
      <c r="G49" s="420" t="s">
        <v>90</v>
      </c>
      <c r="H49" s="421" t="s">
        <v>89</v>
      </c>
      <c r="I49" s="422">
        <v>4691000</v>
      </c>
      <c r="J49" s="423"/>
      <c r="K49" s="414"/>
    </row>
    <row r="50" spans="1:11" ht="21" customHeight="1">
      <c r="A50" s="420" t="s">
        <v>91</v>
      </c>
      <c r="B50" s="421" t="s">
        <v>89</v>
      </c>
      <c r="C50" s="421">
        <v>810883.99</v>
      </c>
      <c r="D50" s="423"/>
      <c r="G50" s="420" t="s">
        <v>91</v>
      </c>
      <c r="H50" s="421" t="s">
        <v>89</v>
      </c>
      <c r="I50" s="421">
        <v>810883.99</v>
      </c>
      <c r="J50" s="423"/>
      <c r="K50" s="414"/>
    </row>
    <row r="51" spans="1:11" ht="21" customHeight="1">
      <c r="A51" s="420" t="s">
        <v>92</v>
      </c>
      <c r="B51" s="421" t="s">
        <v>89</v>
      </c>
      <c r="C51" s="422" t="s">
        <v>27</v>
      </c>
      <c r="D51" s="423"/>
      <c r="G51" s="420" t="s">
        <v>92</v>
      </c>
      <c r="H51" s="421" t="s">
        <v>89</v>
      </c>
      <c r="I51" s="422" t="s">
        <v>27</v>
      </c>
      <c r="J51" s="423"/>
      <c r="K51" s="414"/>
    </row>
    <row r="52" spans="1:11" ht="21" customHeight="1">
      <c r="A52" s="420" t="s">
        <v>93</v>
      </c>
      <c r="B52" s="421" t="s">
        <v>89</v>
      </c>
      <c r="C52" s="422">
        <v>13425804.68</v>
      </c>
      <c r="D52" s="423"/>
      <c r="G52" s="420" t="s">
        <v>93</v>
      </c>
      <c r="H52" s="421" t="s">
        <v>89</v>
      </c>
      <c r="I52" s="598">
        <v>13425806.62</v>
      </c>
      <c r="J52" s="423"/>
      <c r="K52" s="414"/>
    </row>
    <row r="53" spans="1:11" ht="21" customHeight="1">
      <c r="A53" s="420" t="s">
        <v>94</v>
      </c>
      <c r="B53" s="421" t="s">
        <v>89</v>
      </c>
      <c r="C53" s="422">
        <v>626968.66</v>
      </c>
      <c r="D53" s="423"/>
      <c r="G53" s="420" t="s">
        <v>94</v>
      </c>
      <c r="H53" s="421" t="s">
        <v>89</v>
      </c>
      <c r="I53" s="422">
        <v>626968.66</v>
      </c>
      <c r="J53" s="423"/>
      <c r="K53" s="414"/>
    </row>
    <row r="54" spans="1:11" ht="21" customHeight="1">
      <c r="A54" s="420" t="s">
        <v>95</v>
      </c>
      <c r="B54" s="421" t="s">
        <v>89</v>
      </c>
      <c r="C54" s="422">
        <v>11939885.34</v>
      </c>
      <c r="D54" s="423"/>
      <c r="E54" s="416">
        <f>SUM(C48:C54)</f>
        <v>31494780.85</v>
      </c>
      <c r="G54" s="420" t="s">
        <v>95</v>
      </c>
      <c r="H54" s="421" t="s">
        <v>89</v>
      </c>
      <c r="I54" s="422">
        <v>11939885.34</v>
      </c>
      <c r="J54" s="423"/>
      <c r="K54" s="416">
        <f>SUM(I48:I54)</f>
        <v>31494782.79</v>
      </c>
    </row>
    <row r="55" spans="1:11" ht="21" customHeight="1">
      <c r="A55" s="420" t="s">
        <v>96</v>
      </c>
      <c r="B55" s="424">
        <v>701</v>
      </c>
      <c r="C55" s="422">
        <v>1681293.82</v>
      </c>
      <c r="D55" s="423"/>
      <c r="G55" s="420" t="s">
        <v>96</v>
      </c>
      <c r="H55" s="424">
        <v>701</v>
      </c>
      <c r="I55" s="422">
        <v>1681293.82</v>
      </c>
      <c r="J55" s="423"/>
      <c r="K55" s="414"/>
    </row>
    <row r="56" spans="1:11" ht="21" customHeight="1">
      <c r="A56" s="420" t="s">
        <v>97</v>
      </c>
      <c r="B56" s="424" t="s">
        <v>98</v>
      </c>
      <c r="C56" s="422">
        <v>20316.7</v>
      </c>
      <c r="D56" s="423"/>
      <c r="G56" s="420" t="s">
        <v>97</v>
      </c>
      <c r="H56" s="424" t="s">
        <v>98</v>
      </c>
      <c r="I56" s="422">
        <v>20316.7</v>
      </c>
      <c r="J56" s="423"/>
      <c r="K56" s="414"/>
    </row>
    <row r="57" spans="1:11" ht="21" customHeight="1">
      <c r="A57" s="420" t="s">
        <v>99</v>
      </c>
      <c r="B57" s="421"/>
      <c r="C57" s="422">
        <v>107450</v>
      </c>
      <c r="D57" s="423"/>
      <c r="G57" s="420" t="s">
        <v>99</v>
      </c>
      <c r="H57" s="421"/>
      <c r="I57" s="422">
        <v>107450</v>
      </c>
      <c r="J57" s="423"/>
      <c r="K57" s="414"/>
    </row>
    <row r="58" spans="1:11" ht="21" customHeight="1">
      <c r="A58" s="420" t="s">
        <v>672</v>
      </c>
      <c r="B58" s="425" t="s">
        <v>673</v>
      </c>
      <c r="C58" s="422">
        <v>1396485</v>
      </c>
      <c r="D58" s="423"/>
      <c r="G58" s="420" t="s">
        <v>672</v>
      </c>
      <c r="H58" s="425" t="s">
        <v>673</v>
      </c>
      <c r="I58" s="422">
        <v>1396485</v>
      </c>
      <c r="J58" s="423"/>
      <c r="K58" s="414"/>
    </row>
    <row r="59" spans="1:11" ht="21" customHeight="1">
      <c r="A59" s="420" t="s">
        <v>100</v>
      </c>
      <c r="B59" s="421" t="s">
        <v>101</v>
      </c>
      <c r="C59" s="421">
        <v>0</v>
      </c>
      <c r="D59" s="423"/>
      <c r="G59" s="420" t="s">
        <v>100</v>
      </c>
      <c r="H59" s="421" t="s">
        <v>101</v>
      </c>
      <c r="I59" s="421">
        <v>0</v>
      </c>
      <c r="J59" s="423"/>
      <c r="K59" s="414"/>
    </row>
    <row r="60" spans="1:11" ht="21" customHeight="1">
      <c r="A60" s="420" t="s">
        <v>73</v>
      </c>
      <c r="B60" s="424">
        <v>100</v>
      </c>
      <c r="C60" s="421">
        <v>599018.7</v>
      </c>
      <c r="D60" s="423"/>
      <c r="G60" s="420" t="s">
        <v>73</v>
      </c>
      <c r="H60" s="424">
        <v>100</v>
      </c>
      <c r="I60" s="421">
        <v>599018.7</v>
      </c>
      <c r="J60" s="423"/>
      <c r="K60" s="414"/>
    </row>
    <row r="61" spans="1:11" ht="21" customHeight="1">
      <c r="A61" s="420" t="s">
        <v>46</v>
      </c>
      <c r="B61" s="424">
        <v>120</v>
      </c>
      <c r="C61" s="422">
        <v>15000</v>
      </c>
      <c r="D61" s="423"/>
      <c r="G61" s="420" t="s">
        <v>46</v>
      </c>
      <c r="H61" s="424">
        <v>120</v>
      </c>
      <c r="I61" s="422">
        <v>15000</v>
      </c>
      <c r="J61" s="423"/>
      <c r="K61" s="414"/>
    </row>
    <row r="62" spans="1:11" ht="21" customHeight="1">
      <c r="A62" s="420" t="s">
        <v>74</v>
      </c>
      <c r="B62" s="424">
        <v>130</v>
      </c>
      <c r="C62" s="422">
        <v>276310</v>
      </c>
      <c r="D62" s="423"/>
      <c r="G62" s="420" t="s">
        <v>74</v>
      </c>
      <c r="H62" s="424">
        <v>130</v>
      </c>
      <c r="I62" s="422">
        <v>276310</v>
      </c>
      <c r="J62" s="423"/>
      <c r="K62" s="414"/>
    </row>
    <row r="63" spans="1:11" ht="21" customHeight="1">
      <c r="A63" s="420" t="s">
        <v>75</v>
      </c>
      <c r="B63" s="424">
        <v>200</v>
      </c>
      <c r="C63" s="422">
        <v>0</v>
      </c>
      <c r="D63" s="423"/>
      <c r="G63" s="420" t="s">
        <v>75</v>
      </c>
      <c r="H63" s="424">
        <v>200</v>
      </c>
      <c r="I63" s="422">
        <v>0</v>
      </c>
      <c r="J63" s="423"/>
      <c r="K63" s="414"/>
    </row>
    <row r="64" spans="1:11" ht="21" customHeight="1">
      <c r="A64" s="420" t="s">
        <v>76</v>
      </c>
      <c r="B64" s="424">
        <v>250</v>
      </c>
      <c r="C64" s="422">
        <v>4815</v>
      </c>
      <c r="D64" s="423"/>
      <c r="G64" s="420" t="s">
        <v>76</v>
      </c>
      <c r="H64" s="424">
        <v>250</v>
      </c>
      <c r="I64" s="422">
        <v>4815</v>
      </c>
      <c r="J64" s="423"/>
      <c r="K64" s="414"/>
    </row>
    <row r="65" spans="1:11" ht="21" customHeight="1">
      <c r="A65" s="420" t="s">
        <v>77</v>
      </c>
      <c r="B65" s="424">
        <v>270</v>
      </c>
      <c r="C65" s="422">
        <v>0</v>
      </c>
      <c r="D65" s="423"/>
      <c r="G65" s="420" t="s">
        <v>77</v>
      </c>
      <c r="H65" s="424">
        <v>270</v>
      </c>
      <c r="I65" s="422">
        <v>0</v>
      </c>
      <c r="J65" s="423"/>
      <c r="K65" s="414"/>
    </row>
    <row r="66" spans="1:11" ht="21" customHeight="1">
      <c r="A66" s="420" t="s">
        <v>51</v>
      </c>
      <c r="B66" s="424">
        <v>300</v>
      </c>
      <c r="C66" s="422">
        <v>19711.77</v>
      </c>
      <c r="D66" s="423"/>
      <c r="G66" s="420" t="s">
        <v>51</v>
      </c>
      <c r="H66" s="424">
        <v>300</v>
      </c>
      <c r="I66" s="422">
        <v>19711.77</v>
      </c>
      <c r="J66" s="423"/>
      <c r="K66" s="414"/>
    </row>
    <row r="67" spans="1:11" ht="21" customHeight="1">
      <c r="A67" s="420" t="s">
        <v>54</v>
      </c>
      <c r="B67" s="424">
        <v>450</v>
      </c>
      <c r="C67" s="422"/>
      <c r="D67" s="423"/>
      <c r="G67" s="420" t="s">
        <v>54</v>
      </c>
      <c r="H67" s="424">
        <v>450</v>
      </c>
      <c r="I67" s="422"/>
      <c r="J67" s="423"/>
      <c r="K67" s="414"/>
    </row>
    <row r="68" spans="1:11" ht="21" customHeight="1">
      <c r="A68" s="420" t="s">
        <v>55</v>
      </c>
      <c r="B68" s="424">
        <v>500</v>
      </c>
      <c r="C68" s="422"/>
      <c r="D68" s="423"/>
      <c r="G68" s="420" t="s">
        <v>55</v>
      </c>
      <c r="H68" s="424">
        <v>500</v>
      </c>
      <c r="I68" s="422"/>
      <c r="J68" s="423"/>
      <c r="K68" s="414"/>
    </row>
    <row r="69" spans="1:11" ht="21" customHeight="1">
      <c r="A69" s="420" t="s">
        <v>2</v>
      </c>
      <c r="B69" s="426" t="s">
        <v>102</v>
      </c>
      <c r="C69" s="422">
        <v>9500</v>
      </c>
      <c r="D69" s="423"/>
      <c r="F69" s="417">
        <f>SUM(C60:C69)</f>
        <v>924355.47</v>
      </c>
      <c r="G69" s="420" t="s">
        <v>2</v>
      </c>
      <c r="H69" s="426" t="s">
        <v>102</v>
      </c>
      <c r="I69" s="422">
        <v>9500</v>
      </c>
      <c r="J69" s="423"/>
      <c r="K69" s="414"/>
    </row>
    <row r="70" spans="1:11" ht="21" customHeight="1">
      <c r="A70" s="420" t="s">
        <v>52</v>
      </c>
      <c r="B70" s="424">
        <v>400</v>
      </c>
      <c r="C70" s="422"/>
      <c r="D70" s="423"/>
      <c r="G70" s="420" t="s">
        <v>52</v>
      </c>
      <c r="H70" s="424">
        <v>400</v>
      </c>
      <c r="I70" s="422"/>
      <c r="J70" s="423"/>
      <c r="K70" s="414"/>
    </row>
    <row r="71" spans="1:11" ht="21" customHeight="1">
      <c r="A71" s="420" t="s">
        <v>103</v>
      </c>
      <c r="B71" s="424">
        <v>821</v>
      </c>
      <c r="C71" s="422"/>
      <c r="D71" s="423">
        <v>2652765.72</v>
      </c>
      <c r="G71" s="420" t="s">
        <v>103</v>
      </c>
      <c r="H71" s="424">
        <v>821</v>
      </c>
      <c r="I71" s="422"/>
      <c r="J71" s="423">
        <v>2652765.72</v>
      </c>
      <c r="K71" s="414"/>
    </row>
    <row r="72" spans="1:11" ht="21" customHeight="1">
      <c r="A72" s="420" t="s">
        <v>104</v>
      </c>
      <c r="B72" s="424">
        <v>900</v>
      </c>
      <c r="C72" s="422"/>
      <c r="D72" s="423">
        <f>4615.9+794362+21437+19446</f>
        <v>839860.9</v>
      </c>
      <c r="E72" s="417">
        <f>21437+4615.9+19446+794362</f>
        <v>839860.9</v>
      </c>
      <c r="G72" s="420" t="s">
        <v>104</v>
      </c>
      <c r="H72" s="424">
        <v>900</v>
      </c>
      <c r="I72" s="422"/>
      <c r="J72" s="423">
        <f>4615.9+794362+21437+19446</f>
        <v>839860.9</v>
      </c>
      <c r="K72" s="417">
        <f>21437+4615.9+19446+794362</f>
        <v>839860.9</v>
      </c>
    </row>
    <row r="73" spans="1:11" ht="21" customHeight="1">
      <c r="A73" s="420" t="s">
        <v>105</v>
      </c>
      <c r="B73" s="424"/>
      <c r="C73" s="421"/>
      <c r="D73" s="423">
        <v>259300</v>
      </c>
      <c r="G73" s="420" t="s">
        <v>105</v>
      </c>
      <c r="H73" s="424"/>
      <c r="I73" s="421"/>
      <c r="J73" s="423">
        <v>259300</v>
      </c>
      <c r="K73" s="414"/>
    </row>
    <row r="74" spans="1:11" ht="21" customHeight="1">
      <c r="A74" s="420" t="s">
        <v>106</v>
      </c>
      <c r="B74" s="424">
        <v>600</v>
      </c>
      <c r="C74" s="421"/>
      <c r="D74" s="423">
        <v>38000</v>
      </c>
      <c r="G74" s="420" t="s">
        <v>106</v>
      </c>
      <c r="H74" s="424">
        <v>600</v>
      </c>
      <c r="I74" s="421"/>
      <c r="J74" s="423">
        <v>38000</v>
      </c>
      <c r="K74" s="414"/>
    </row>
    <row r="75" spans="1:11" ht="21" customHeight="1">
      <c r="A75" s="420" t="s">
        <v>107</v>
      </c>
      <c r="B75" s="424">
        <v>700</v>
      </c>
      <c r="C75" s="421"/>
      <c r="D75" s="423">
        <v>16054130.97</v>
      </c>
      <c r="G75" s="420" t="s">
        <v>107</v>
      </c>
      <c r="H75" s="424">
        <v>700</v>
      </c>
      <c r="I75" s="421"/>
      <c r="J75" s="423">
        <v>16054132.91</v>
      </c>
      <c r="K75" s="414"/>
    </row>
    <row r="76" spans="1:11" ht="21" customHeight="1">
      <c r="A76" s="420" t="s">
        <v>108</v>
      </c>
      <c r="B76" s="424"/>
      <c r="C76" s="421"/>
      <c r="D76" s="423">
        <v>15305505.59</v>
      </c>
      <c r="G76" s="420" t="s">
        <v>108</v>
      </c>
      <c r="H76" s="424"/>
      <c r="I76" s="421"/>
      <c r="J76" s="423">
        <v>15305505.59</v>
      </c>
      <c r="K76" s="414"/>
    </row>
    <row r="77" spans="1:11" ht="21" customHeight="1">
      <c r="A77" s="420" t="s">
        <v>109</v>
      </c>
      <c r="B77" s="424" t="s">
        <v>671</v>
      </c>
      <c r="C77" s="421"/>
      <c r="D77" s="423"/>
      <c r="G77" s="420" t="s">
        <v>109</v>
      </c>
      <c r="H77" s="424" t="s">
        <v>671</v>
      </c>
      <c r="I77" s="421"/>
      <c r="J77" s="423"/>
      <c r="K77" s="414"/>
    </row>
    <row r="78" spans="1:11" ht="21" customHeight="1">
      <c r="A78" s="420" t="s">
        <v>110</v>
      </c>
      <c r="B78" s="424"/>
      <c r="C78" s="421"/>
      <c r="D78" s="423">
        <v>734418.66</v>
      </c>
      <c r="G78" s="420" t="s">
        <v>110</v>
      </c>
      <c r="H78" s="424"/>
      <c r="I78" s="421"/>
      <c r="J78" s="423">
        <v>734418.66</v>
      </c>
      <c r="K78" s="414"/>
    </row>
    <row r="79" spans="1:11" ht="21" customHeight="1">
      <c r="A79" s="420" t="s">
        <v>111</v>
      </c>
      <c r="B79" s="424"/>
      <c r="C79" s="421">
        <v>259300</v>
      </c>
      <c r="D79" s="423"/>
      <c r="G79" s="420" t="s">
        <v>111</v>
      </c>
      <c r="H79" s="424"/>
      <c r="I79" s="421">
        <v>259300</v>
      </c>
      <c r="J79" s="423"/>
      <c r="K79" s="414"/>
    </row>
    <row r="80" spans="1:11" ht="21" customHeight="1" hidden="1">
      <c r="A80" s="420"/>
      <c r="B80" s="424"/>
      <c r="C80" s="421"/>
      <c r="D80" s="423"/>
      <c r="G80" s="420"/>
      <c r="H80" s="424"/>
      <c r="I80" s="421"/>
      <c r="J80" s="423"/>
      <c r="K80" s="414"/>
    </row>
    <row r="81" spans="1:11" ht="21" customHeight="1" hidden="1">
      <c r="A81" s="420"/>
      <c r="B81" s="424"/>
      <c r="C81" s="421"/>
      <c r="D81" s="423"/>
      <c r="G81" s="420"/>
      <c r="H81" s="424"/>
      <c r="I81" s="421"/>
      <c r="J81" s="423"/>
      <c r="K81" s="414"/>
    </row>
    <row r="82" spans="1:11" ht="21" customHeight="1" hidden="1">
      <c r="A82" s="420"/>
      <c r="B82" s="424"/>
      <c r="C82" s="421"/>
      <c r="D82" s="423"/>
      <c r="G82" s="420"/>
      <c r="H82" s="424"/>
      <c r="I82" s="421"/>
      <c r="J82" s="423"/>
      <c r="K82" s="414"/>
    </row>
    <row r="83" spans="1:11" ht="21" customHeight="1" hidden="1">
      <c r="A83" s="420"/>
      <c r="B83" s="424"/>
      <c r="C83" s="421"/>
      <c r="D83" s="423"/>
      <c r="G83" s="420"/>
      <c r="H83" s="424"/>
      <c r="I83" s="421"/>
      <c r="J83" s="423"/>
      <c r="K83" s="414"/>
    </row>
    <row r="84" spans="1:11" ht="21" customHeight="1" hidden="1">
      <c r="A84" s="420"/>
      <c r="B84" s="424"/>
      <c r="C84" s="421"/>
      <c r="D84" s="423"/>
      <c r="G84" s="420"/>
      <c r="H84" s="424"/>
      <c r="I84" s="421"/>
      <c r="J84" s="423"/>
      <c r="K84" s="414"/>
    </row>
    <row r="85" spans="1:11" ht="21" customHeight="1" hidden="1">
      <c r="A85" s="420"/>
      <c r="B85" s="424"/>
      <c r="C85" s="422"/>
      <c r="D85" s="423"/>
      <c r="G85" s="420"/>
      <c r="H85" s="424"/>
      <c r="I85" s="422"/>
      <c r="J85" s="423"/>
      <c r="K85" s="414"/>
    </row>
    <row r="86" spans="1:11" ht="21" customHeight="1">
      <c r="A86" s="427"/>
      <c r="B86" s="427"/>
      <c r="C86" s="428">
        <f>SUM(C47:C85)</f>
        <v>35883981.84000001</v>
      </c>
      <c r="D86" s="429">
        <f>SUM(D47:D85)</f>
        <v>35883981.839999996</v>
      </c>
      <c r="E86" s="416">
        <f>+C86-D86</f>
        <v>0</v>
      </c>
      <c r="G86" s="427"/>
      <c r="H86" s="427"/>
      <c r="I86" s="428">
        <f>SUM(I47:I85)</f>
        <v>35883983.78000001</v>
      </c>
      <c r="J86" s="429">
        <f>SUM(J47:J85)</f>
        <v>35883983.78</v>
      </c>
      <c r="K86" s="416">
        <f>+I86-J86</f>
        <v>0</v>
      </c>
    </row>
    <row r="87" spans="1:4" ht="21" customHeight="1">
      <c r="A87" s="411"/>
      <c r="B87" s="411"/>
      <c r="C87" s="412"/>
      <c r="D87" s="413"/>
    </row>
    <row r="88" spans="1:10" ht="21" customHeight="1">
      <c r="A88" s="751" t="s">
        <v>30</v>
      </c>
      <c r="B88" s="751"/>
      <c r="C88" s="751"/>
      <c r="D88" s="751"/>
      <c r="G88" s="751" t="s">
        <v>30</v>
      </c>
      <c r="H88" s="751"/>
      <c r="I88" s="751"/>
      <c r="J88" s="751"/>
    </row>
    <row r="89" spans="1:10" ht="21" customHeight="1">
      <c r="A89" s="751" t="s">
        <v>141</v>
      </c>
      <c r="B89" s="751"/>
      <c r="C89" s="751"/>
      <c r="D89" s="751"/>
      <c r="G89" s="751" t="s">
        <v>141</v>
      </c>
      <c r="H89" s="751"/>
      <c r="I89" s="751"/>
      <c r="J89" s="751"/>
    </row>
    <row r="90" spans="1:10" ht="21" customHeight="1">
      <c r="A90" s="751" t="s">
        <v>872</v>
      </c>
      <c r="B90" s="751"/>
      <c r="C90" s="751"/>
      <c r="D90" s="751"/>
      <c r="G90" s="751" t="s">
        <v>872</v>
      </c>
      <c r="H90" s="751"/>
      <c r="I90" s="751"/>
      <c r="J90" s="751"/>
    </row>
    <row r="91" spans="1:10" ht="21" customHeight="1">
      <c r="A91" s="418" t="s">
        <v>32</v>
      </c>
      <c r="B91" s="418" t="s">
        <v>83</v>
      </c>
      <c r="C91" s="419" t="s">
        <v>84</v>
      </c>
      <c r="D91" s="419" t="s">
        <v>85</v>
      </c>
      <c r="G91" s="418" t="s">
        <v>32</v>
      </c>
      <c r="H91" s="418" t="s">
        <v>83</v>
      </c>
      <c r="I91" s="419" t="s">
        <v>84</v>
      </c>
      <c r="J91" s="419" t="s">
        <v>85</v>
      </c>
    </row>
    <row r="92" spans="1:10" ht="21" customHeight="1">
      <c r="A92" s="420" t="s">
        <v>86</v>
      </c>
      <c r="B92" s="421" t="s">
        <v>87</v>
      </c>
      <c r="C92" s="422">
        <v>0</v>
      </c>
      <c r="D92" s="423"/>
      <c r="G92" s="420" t="s">
        <v>86</v>
      </c>
      <c r="H92" s="421" t="s">
        <v>87</v>
      </c>
      <c r="I92" s="422">
        <v>0</v>
      </c>
      <c r="J92" s="423"/>
    </row>
    <row r="93" spans="1:10" ht="21" customHeight="1">
      <c r="A93" s="420" t="s">
        <v>873</v>
      </c>
      <c r="B93" s="421" t="s">
        <v>89</v>
      </c>
      <c r="C93" s="422">
        <f>238.18+508105.35</f>
        <v>508343.52999999997</v>
      </c>
      <c r="D93" s="423"/>
      <c r="G93" s="420" t="s">
        <v>873</v>
      </c>
      <c r="H93" s="421" t="s">
        <v>89</v>
      </c>
      <c r="I93" s="422">
        <f>238.18+508105.35</f>
        <v>508343.52999999997</v>
      </c>
      <c r="J93" s="423"/>
    </row>
    <row r="94" spans="1:10" ht="21" customHeight="1">
      <c r="A94" s="420" t="s">
        <v>90</v>
      </c>
      <c r="B94" s="421" t="s">
        <v>89</v>
      </c>
      <c r="C94" s="422">
        <v>4691000</v>
      </c>
      <c r="D94" s="423"/>
      <c r="G94" s="420" t="s">
        <v>90</v>
      </c>
      <c r="H94" s="421" t="s">
        <v>89</v>
      </c>
      <c r="I94" s="422">
        <v>4691000</v>
      </c>
      <c r="J94" s="423"/>
    </row>
    <row r="95" spans="1:10" ht="21" customHeight="1">
      <c r="A95" s="420" t="s">
        <v>91</v>
      </c>
      <c r="B95" s="421" t="s">
        <v>89</v>
      </c>
      <c r="C95" s="421">
        <v>1037894.92</v>
      </c>
      <c r="D95" s="423"/>
      <c r="G95" s="420" t="s">
        <v>91</v>
      </c>
      <c r="H95" s="421" t="s">
        <v>89</v>
      </c>
      <c r="I95" s="421">
        <v>1037894.92</v>
      </c>
      <c r="J95" s="423"/>
    </row>
    <row r="96" spans="1:10" ht="21" customHeight="1">
      <c r="A96" s="420" t="s">
        <v>92</v>
      </c>
      <c r="B96" s="421" t="s">
        <v>89</v>
      </c>
      <c r="C96" s="422">
        <v>0</v>
      </c>
      <c r="D96" s="423"/>
      <c r="G96" s="420" t="s">
        <v>92</v>
      </c>
      <c r="H96" s="421" t="s">
        <v>89</v>
      </c>
      <c r="I96" s="422">
        <v>0</v>
      </c>
      <c r="J96" s="423"/>
    </row>
    <row r="97" spans="1:10" ht="21" customHeight="1">
      <c r="A97" s="420" t="s">
        <v>93</v>
      </c>
      <c r="B97" s="421" t="s">
        <v>89</v>
      </c>
      <c r="C97" s="422">
        <v>17294129.65</v>
      </c>
      <c r="D97" s="423"/>
      <c r="G97" s="420" t="s">
        <v>93</v>
      </c>
      <c r="H97" s="421" t="s">
        <v>89</v>
      </c>
      <c r="I97" s="422">
        <v>17294131.59</v>
      </c>
      <c r="J97" s="423"/>
    </row>
    <row r="98" spans="1:10" ht="21" customHeight="1">
      <c r="A98" s="420" t="s">
        <v>874</v>
      </c>
      <c r="B98" s="421" t="s">
        <v>89</v>
      </c>
      <c r="C98" s="422">
        <v>634406.66</v>
      </c>
      <c r="D98" s="423"/>
      <c r="G98" s="420" t="s">
        <v>874</v>
      </c>
      <c r="H98" s="421" t="s">
        <v>89</v>
      </c>
      <c r="I98" s="422">
        <v>634406.66</v>
      </c>
      <c r="J98" s="423"/>
    </row>
    <row r="99" spans="1:10" ht="21" customHeight="1">
      <c r="A99" s="420" t="s">
        <v>95</v>
      </c>
      <c r="B99" s="421" t="s">
        <v>89</v>
      </c>
      <c r="C99" s="422">
        <v>11974494.65</v>
      </c>
      <c r="D99" s="423"/>
      <c r="E99" s="416">
        <f>SUM(C93:C99)</f>
        <v>36140269.41</v>
      </c>
      <c r="G99" s="420" t="s">
        <v>95</v>
      </c>
      <c r="H99" s="421" t="s">
        <v>89</v>
      </c>
      <c r="I99" s="422">
        <v>11974494.65</v>
      </c>
      <c r="J99" s="423"/>
    </row>
    <row r="100" spans="1:10" ht="21" customHeight="1">
      <c r="A100" s="420" t="s">
        <v>96</v>
      </c>
      <c r="B100" s="424">
        <v>701</v>
      </c>
      <c r="C100" s="422">
        <v>1681293.82</v>
      </c>
      <c r="D100" s="423"/>
      <c r="G100" s="420" t="s">
        <v>96</v>
      </c>
      <c r="H100" s="424">
        <v>701</v>
      </c>
      <c r="I100" s="422">
        <v>1681293.82</v>
      </c>
      <c r="J100" s="423"/>
    </row>
    <row r="101" spans="1:10" ht="21" customHeight="1">
      <c r="A101" s="420" t="s">
        <v>875</v>
      </c>
      <c r="B101" s="424" t="s">
        <v>98</v>
      </c>
      <c r="C101" s="422">
        <v>20121.95</v>
      </c>
      <c r="D101" s="423"/>
      <c r="G101" s="420" t="s">
        <v>875</v>
      </c>
      <c r="H101" s="424" t="s">
        <v>98</v>
      </c>
      <c r="I101" s="422">
        <v>20121.95</v>
      </c>
      <c r="J101" s="423"/>
    </row>
    <row r="102" spans="1:10" ht="21" customHeight="1">
      <c r="A102" s="420" t="s">
        <v>99</v>
      </c>
      <c r="B102" s="421"/>
      <c r="C102" s="422">
        <v>100450</v>
      </c>
      <c r="D102" s="423"/>
      <c r="G102" s="420" t="s">
        <v>99</v>
      </c>
      <c r="H102" s="421"/>
      <c r="I102" s="422">
        <v>100450</v>
      </c>
      <c r="J102" s="423"/>
    </row>
    <row r="103" spans="1:10" ht="21" customHeight="1">
      <c r="A103" s="420" t="s">
        <v>672</v>
      </c>
      <c r="B103" s="425" t="s">
        <v>673</v>
      </c>
      <c r="C103" s="422">
        <v>418595</v>
      </c>
      <c r="D103" s="423"/>
      <c r="G103" s="420" t="s">
        <v>672</v>
      </c>
      <c r="H103" s="425" t="s">
        <v>673</v>
      </c>
      <c r="I103" s="422">
        <v>418595</v>
      </c>
      <c r="J103" s="423"/>
    </row>
    <row r="104" spans="1:10" ht="21" customHeight="1">
      <c r="A104" s="420" t="s">
        <v>100</v>
      </c>
      <c r="B104" s="421" t="s">
        <v>101</v>
      </c>
      <c r="C104" s="421">
        <v>21630</v>
      </c>
      <c r="D104" s="423"/>
      <c r="G104" s="420" t="s">
        <v>100</v>
      </c>
      <c r="H104" s="421" t="s">
        <v>101</v>
      </c>
      <c r="I104" s="421">
        <v>21630</v>
      </c>
      <c r="J104" s="423"/>
    </row>
    <row r="105" spans="1:10" s="411" customFormat="1" ht="21" customHeight="1">
      <c r="A105" s="420" t="s">
        <v>73</v>
      </c>
      <c r="B105" s="424">
        <v>100</v>
      </c>
      <c r="C105" s="421">
        <v>1198433.7</v>
      </c>
      <c r="D105" s="423"/>
      <c r="E105" s="415"/>
      <c r="F105" s="580"/>
      <c r="G105" s="420" t="s">
        <v>73</v>
      </c>
      <c r="H105" s="424">
        <v>100</v>
      </c>
      <c r="I105" s="421">
        <v>1198433.7</v>
      </c>
      <c r="J105" s="423"/>
    </row>
    <row r="106" spans="1:10" s="411" customFormat="1" ht="21" customHeight="1">
      <c r="A106" s="420" t="s">
        <v>46</v>
      </c>
      <c r="B106" s="424">
        <v>120</v>
      </c>
      <c r="C106" s="422">
        <v>47840</v>
      </c>
      <c r="D106" s="423"/>
      <c r="E106" s="415"/>
      <c r="F106" s="580"/>
      <c r="G106" s="420" t="s">
        <v>46</v>
      </c>
      <c r="H106" s="424">
        <v>120</v>
      </c>
      <c r="I106" s="422">
        <v>47840</v>
      </c>
      <c r="J106" s="423"/>
    </row>
    <row r="107" spans="1:10" s="411" customFormat="1" ht="21" customHeight="1">
      <c r="A107" s="420" t="s">
        <v>74</v>
      </c>
      <c r="B107" s="424">
        <v>130</v>
      </c>
      <c r="C107" s="422">
        <v>552620</v>
      </c>
      <c r="D107" s="423"/>
      <c r="E107" s="415"/>
      <c r="F107" s="580"/>
      <c r="G107" s="420" t="s">
        <v>74</v>
      </c>
      <c r="H107" s="424">
        <v>130</v>
      </c>
      <c r="I107" s="422">
        <v>552620</v>
      </c>
      <c r="J107" s="423"/>
    </row>
    <row r="108" spans="1:10" s="411" customFormat="1" ht="21" customHeight="1">
      <c r="A108" s="420" t="s">
        <v>75</v>
      </c>
      <c r="B108" s="424">
        <v>200</v>
      </c>
      <c r="C108" s="422">
        <v>21900</v>
      </c>
      <c r="D108" s="423"/>
      <c r="E108" s="415"/>
      <c r="F108" s="580"/>
      <c r="G108" s="420" t="s">
        <v>75</v>
      </c>
      <c r="H108" s="424">
        <v>200</v>
      </c>
      <c r="I108" s="422">
        <v>21900</v>
      </c>
      <c r="J108" s="423"/>
    </row>
    <row r="109" spans="1:10" s="411" customFormat="1" ht="21" customHeight="1">
      <c r="A109" s="420" t="s">
        <v>76</v>
      </c>
      <c r="B109" s="424">
        <v>250</v>
      </c>
      <c r="C109" s="422">
        <v>491427</v>
      </c>
      <c r="D109" s="423"/>
      <c r="E109" s="415"/>
      <c r="F109" s="580"/>
      <c r="G109" s="420" t="s">
        <v>76</v>
      </c>
      <c r="H109" s="424">
        <v>250</v>
      </c>
      <c r="I109" s="422">
        <v>491427</v>
      </c>
      <c r="J109" s="423"/>
    </row>
    <row r="110" spans="1:10" s="411" customFormat="1" ht="21" customHeight="1">
      <c r="A110" s="420" t="s">
        <v>77</v>
      </c>
      <c r="B110" s="424">
        <v>270</v>
      </c>
      <c r="C110" s="422">
        <v>46760</v>
      </c>
      <c r="D110" s="423"/>
      <c r="E110" s="415"/>
      <c r="F110" s="580"/>
      <c r="G110" s="420" t="s">
        <v>77</v>
      </c>
      <c r="H110" s="424">
        <v>270</v>
      </c>
      <c r="I110" s="422">
        <v>46760</v>
      </c>
      <c r="J110" s="423"/>
    </row>
    <row r="111" spans="1:10" s="411" customFormat="1" ht="21" customHeight="1">
      <c r="A111" s="420" t="s">
        <v>51</v>
      </c>
      <c r="B111" s="424">
        <v>300</v>
      </c>
      <c r="C111" s="422">
        <v>65483.78</v>
      </c>
      <c r="D111" s="423"/>
      <c r="E111" s="415"/>
      <c r="F111" s="580"/>
      <c r="G111" s="420" t="s">
        <v>51</v>
      </c>
      <c r="H111" s="424">
        <v>300</v>
      </c>
      <c r="I111" s="422">
        <v>65483.78</v>
      </c>
      <c r="J111" s="423"/>
    </row>
    <row r="112" spans="1:10" s="411" customFormat="1" ht="21" customHeight="1">
      <c r="A112" s="420" t="s">
        <v>54</v>
      </c>
      <c r="B112" s="424">
        <v>450</v>
      </c>
      <c r="C112" s="422"/>
      <c r="D112" s="423"/>
      <c r="E112" s="415"/>
      <c r="F112" s="580"/>
      <c r="G112" s="420" t="s">
        <v>54</v>
      </c>
      <c r="H112" s="424">
        <v>450</v>
      </c>
      <c r="I112" s="422"/>
      <c r="J112" s="423"/>
    </row>
    <row r="113" spans="1:10" s="411" customFormat="1" ht="21" customHeight="1">
      <c r="A113" s="420" t="s">
        <v>55</v>
      </c>
      <c r="B113" s="424">
        <v>500</v>
      </c>
      <c r="C113" s="422"/>
      <c r="D113" s="423"/>
      <c r="E113" s="415"/>
      <c r="F113" s="580"/>
      <c r="G113" s="420" t="s">
        <v>55</v>
      </c>
      <c r="H113" s="424">
        <v>500</v>
      </c>
      <c r="I113" s="422"/>
      <c r="J113" s="423"/>
    </row>
    <row r="114" spans="1:10" s="411" customFormat="1" ht="21" customHeight="1">
      <c r="A114" s="420" t="s">
        <v>2</v>
      </c>
      <c r="B114" s="426" t="s">
        <v>102</v>
      </c>
      <c r="C114" s="422">
        <v>432813</v>
      </c>
      <c r="D114" s="423"/>
      <c r="E114" s="415"/>
      <c r="F114" s="583" t="s">
        <v>885</v>
      </c>
      <c r="G114" s="420" t="s">
        <v>2</v>
      </c>
      <c r="H114" s="426" t="s">
        <v>102</v>
      </c>
      <c r="I114" s="422">
        <v>432813</v>
      </c>
      <c r="J114" s="423"/>
    </row>
    <row r="115" spans="1:10" s="411" customFormat="1" ht="21" customHeight="1">
      <c r="A115" s="420" t="s">
        <v>52</v>
      </c>
      <c r="B115" s="424">
        <v>400</v>
      </c>
      <c r="C115" s="422">
        <v>673600</v>
      </c>
      <c r="D115" s="423"/>
      <c r="E115" s="415"/>
      <c r="F115" s="580">
        <f>SUM(C105:C115)</f>
        <v>3530877.48</v>
      </c>
      <c r="G115" s="420" t="s">
        <v>52</v>
      </c>
      <c r="H115" s="424">
        <v>400</v>
      </c>
      <c r="I115" s="422">
        <v>673600</v>
      </c>
      <c r="J115" s="423"/>
    </row>
    <row r="116" spans="1:10" ht="21" customHeight="1">
      <c r="A116" s="420" t="s">
        <v>103</v>
      </c>
      <c r="B116" s="424">
        <v>821</v>
      </c>
      <c r="C116" s="422"/>
      <c r="D116" s="423">
        <v>12117642.36</v>
      </c>
      <c r="E116" s="417">
        <v>12117642.360000001</v>
      </c>
      <c r="F116" s="417">
        <f>+E116-D116</f>
        <v>0</v>
      </c>
      <c r="G116" s="420" t="s">
        <v>103</v>
      </c>
      <c r="H116" s="424">
        <v>821</v>
      </c>
      <c r="I116" s="422"/>
      <c r="J116" s="423">
        <v>12117642.36</v>
      </c>
    </row>
    <row r="117" spans="1:10" ht="21" customHeight="1">
      <c r="A117" s="420" t="s">
        <v>877</v>
      </c>
      <c r="B117" s="424" t="s">
        <v>879</v>
      </c>
      <c r="C117" s="422">
        <v>316000</v>
      </c>
      <c r="D117" s="423"/>
      <c r="G117" s="420" t="s">
        <v>877</v>
      </c>
      <c r="H117" s="424" t="s">
        <v>879</v>
      </c>
      <c r="I117" s="422">
        <v>316000</v>
      </c>
      <c r="J117" s="423"/>
    </row>
    <row r="118" spans="1:10" ht="21" customHeight="1">
      <c r="A118" s="420" t="s">
        <v>878</v>
      </c>
      <c r="B118" s="424" t="s">
        <v>879</v>
      </c>
      <c r="C118" s="422">
        <v>2056000</v>
      </c>
      <c r="D118" s="423"/>
      <c r="G118" s="420" t="s">
        <v>878</v>
      </c>
      <c r="H118" s="424" t="s">
        <v>879</v>
      </c>
      <c r="I118" s="422">
        <v>2056000</v>
      </c>
      <c r="J118" s="423"/>
    </row>
    <row r="119" spans="1:10" ht="21" customHeight="1">
      <c r="A119" s="420" t="s">
        <v>104</v>
      </c>
      <c r="B119" s="424">
        <v>900</v>
      </c>
      <c r="C119" s="422"/>
      <c r="D119" s="423">
        <v>752841.01</v>
      </c>
      <c r="G119" s="420" t="s">
        <v>104</v>
      </c>
      <c r="H119" s="424">
        <v>900</v>
      </c>
      <c r="I119" s="422"/>
      <c r="J119" s="423">
        <v>752841.01</v>
      </c>
    </row>
    <row r="120" spans="1:10" ht="21" customHeight="1">
      <c r="A120" s="420" t="s">
        <v>105</v>
      </c>
      <c r="B120" s="424"/>
      <c r="C120" s="421"/>
      <c r="D120" s="586">
        <v>259300</v>
      </c>
      <c r="G120" s="420" t="s">
        <v>105</v>
      </c>
      <c r="H120" s="424"/>
      <c r="I120" s="421"/>
      <c r="J120" s="423">
        <v>259300</v>
      </c>
    </row>
    <row r="121" spans="1:10" ht="21" customHeight="1">
      <c r="A121" s="420" t="s">
        <v>106</v>
      </c>
      <c r="B121" s="424">
        <v>600</v>
      </c>
      <c r="C121" s="421"/>
      <c r="D121" s="423">
        <v>0</v>
      </c>
      <c r="G121" s="420" t="s">
        <v>106</v>
      </c>
      <c r="H121" s="424">
        <v>600</v>
      </c>
      <c r="I121" s="421"/>
      <c r="J121" s="423">
        <v>0</v>
      </c>
    </row>
    <row r="122" spans="1:10" ht="21" customHeight="1">
      <c r="A122" s="420" t="s">
        <v>107</v>
      </c>
      <c r="B122" s="424">
        <v>700</v>
      </c>
      <c r="C122" s="421"/>
      <c r="D122" s="423">
        <v>15374392.04</v>
      </c>
      <c r="G122" s="420" t="s">
        <v>107</v>
      </c>
      <c r="H122" s="424">
        <v>700</v>
      </c>
      <c r="I122" s="421"/>
      <c r="J122" s="423">
        <v>15374393.98</v>
      </c>
    </row>
    <row r="123" spans="1:10" ht="21" customHeight="1">
      <c r="A123" s="420" t="s">
        <v>108</v>
      </c>
      <c r="B123" s="424"/>
      <c r="C123" s="421"/>
      <c r="D123" s="423">
        <v>15305505.59</v>
      </c>
      <c r="G123" s="420" t="s">
        <v>108</v>
      </c>
      <c r="H123" s="424"/>
      <c r="I123" s="421"/>
      <c r="J123" s="423">
        <v>15305505.59</v>
      </c>
    </row>
    <row r="124" spans="1:10" ht="21" customHeight="1">
      <c r="A124" s="420" t="s">
        <v>109</v>
      </c>
      <c r="B124" s="424" t="s">
        <v>671</v>
      </c>
      <c r="C124" s="421"/>
      <c r="D124" s="423"/>
      <c r="G124" s="420" t="s">
        <v>109</v>
      </c>
      <c r="H124" s="424" t="s">
        <v>671</v>
      </c>
      <c r="I124" s="421"/>
      <c r="J124" s="423"/>
    </row>
    <row r="125" spans="1:10" ht="21" customHeight="1">
      <c r="A125" s="420" t="s">
        <v>110</v>
      </c>
      <c r="B125" s="424"/>
      <c r="C125" s="421"/>
      <c r="D125" s="423">
        <v>734856.66</v>
      </c>
      <c r="G125" s="420" t="s">
        <v>110</v>
      </c>
      <c r="H125" s="424"/>
      <c r="I125" s="421"/>
      <c r="J125" s="423">
        <v>734856.66</v>
      </c>
    </row>
    <row r="126" spans="1:10" ht="21" customHeight="1">
      <c r="A126" s="420" t="s">
        <v>111</v>
      </c>
      <c r="B126" s="424"/>
      <c r="C126" s="587">
        <v>259300</v>
      </c>
      <c r="D126" s="423"/>
      <c r="G126" s="420" t="s">
        <v>111</v>
      </c>
      <c r="H126" s="424"/>
      <c r="I126" s="421">
        <v>259300</v>
      </c>
      <c r="J126" s="423"/>
    </row>
    <row r="127" spans="1:11" ht="21" customHeight="1">
      <c r="A127" s="427"/>
      <c r="B127" s="427"/>
      <c r="C127" s="584">
        <f>SUM(C92:C126)</f>
        <v>44544537.660000004</v>
      </c>
      <c r="D127" s="585">
        <f>SUM(D92:D126)</f>
        <v>44544537.66</v>
      </c>
      <c r="E127" s="416">
        <f>+D127-C127</f>
        <v>0</v>
      </c>
      <c r="G127" s="427"/>
      <c r="H127" s="427"/>
      <c r="I127" s="584">
        <f>SUM(I92:I126)</f>
        <v>44544539.60000001</v>
      </c>
      <c r="J127" s="585">
        <f>SUM(J92:J126)</f>
        <v>44544539.599999994</v>
      </c>
      <c r="K127" s="64">
        <f>+J127-I127</f>
        <v>0</v>
      </c>
    </row>
    <row r="129" spans="1:11" ht="21" customHeight="1">
      <c r="A129" s="751" t="s">
        <v>30</v>
      </c>
      <c r="B129" s="751"/>
      <c r="C129" s="751"/>
      <c r="D129" s="751"/>
      <c r="G129" s="751" t="s">
        <v>30</v>
      </c>
      <c r="H129" s="751"/>
      <c r="I129" s="751"/>
      <c r="J129" s="751"/>
      <c r="K129" s="414"/>
    </row>
    <row r="130" spans="1:11" ht="21" customHeight="1">
      <c r="A130" s="751" t="s">
        <v>141</v>
      </c>
      <c r="B130" s="751"/>
      <c r="C130" s="751"/>
      <c r="D130" s="751"/>
      <c r="G130" s="751" t="s">
        <v>141</v>
      </c>
      <c r="H130" s="751"/>
      <c r="I130" s="751"/>
      <c r="J130" s="751"/>
      <c r="K130" s="414"/>
    </row>
    <row r="131" spans="1:11" ht="21" customHeight="1">
      <c r="A131" s="751" t="s">
        <v>887</v>
      </c>
      <c r="B131" s="751"/>
      <c r="C131" s="751"/>
      <c r="D131" s="751"/>
      <c r="G131" s="751" t="s">
        <v>887</v>
      </c>
      <c r="H131" s="751"/>
      <c r="I131" s="751"/>
      <c r="J131" s="751"/>
      <c r="K131" s="414"/>
    </row>
    <row r="132" spans="1:11" ht="21" customHeight="1">
      <c r="A132" s="418" t="s">
        <v>32</v>
      </c>
      <c r="B132" s="418" t="s">
        <v>83</v>
      </c>
      <c r="C132" s="419" t="s">
        <v>84</v>
      </c>
      <c r="D132" s="419" t="s">
        <v>85</v>
      </c>
      <c r="G132" s="418" t="s">
        <v>32</v>
      </c>
      <c r="H132" s="418" t="s">
        <v>83</v>
      </c>
      <c r="I132" s="419" t="s">
        <v>84</v>
      </c>
      <c r="J132" s="419" t="s">
        <v>85</v>
      </c>
      <c r="K132" s="414"/>
    </row>
    <row r="133" spans="1:11" ht="21" customHeight="1">
      <c r="A133" s="420" t="s">
        <v>86</v>
      </c>
      <c r="B133" s="421" t="s">
        <v>87</v>
      </c>
      <c r="C133" s="422"/>
      <c r="D133" s="423"/>
      <c r="G133" s="420" t="s">
        <v>86</v>
      </c>
      <c r="H133" s="421" t="s">
        <v>87</v>
      </c>
      <c r="I133" s="422"/>
      <c r="J133" s="423"/>
      <c r="K133" s="414"/>
    </row>
    <row r="134" spans="1:11" ht="21" customHeight="1">
      <c r="A134" s="420" t="s">
        <v>893</v>
      </c>
      <c r="B134" s="421" t="s">
        <v>89</v>
      </c>
      <c r="C134" s="422">
        <f>238.18+508105.35</f>
        <v>508343.52999999997</v>
      </c>
      <c r="D134" s="423"/>
      <c r="G134" s="420" t="s">
        <v>893</v>
      </c>
      <c r="H134" s="421" t="s">
        <v>89</v>
      </c>
      <c r="I134" s="422">
        <f>238.18+508105.35</f>
        <v>508343.52999999997</v>
      </c>
      <c r="J134" s="423"/>
      <c r="K134" s="414"/>
    </row>
    <row r="135" spans="1:11" ht="21" customHeight="1">
      <c r="A135" s="420" t="s">
        <v>895</v>
      </c>
      <c r="B135" s="421" t="s">
        <v>89</v>
      </c>
      <c r="C135" s="422">
        <v>4691000</v>
      </c>
      <c r="D135" s="423"/>
      <c r="G135" s="420" t="s">
        <v>895</v>
      </c>
      <c r="H135" s="421" t="s">
        <v>89</v>
      </c>
      <c r="I135" s="422">
        <v>4691000</v>
      </c>
      <c r="J135" s="423"/>
      <c r="K135" s="414"/>
    </row>
    <row r="136" spans="1:11" ht="21" customHeight="1">
      <c r="A136" s="420" t="s">
        <v>894</v>
      </c>
      <c r="B136" s="421" t="s">
        <v>89</v>
      </c>
      <c r="C136" s="421">
        <v>783757.6</v>
      </c>
      <c r="D136" s="423"/>
      <c r="G136" s="420" t="s">
        <v>894</v>
      </c>
      <c r="H136" s="421" t="s">
        <v>89</v>
      </c>
      <c r="I136" s="421">
        <v>783757.6</v>
      </c>
      <c r="J136" s="423"/>
      <c r="K136" s="414"/>
    </row>
    <row r="137" spans="1:11" ht="21" customHeight="1">
      <c r="A137" s="420" t="s">
        <v>896</v>
      </c>
      <c r="B137" s="421" t="s">
        <v>89</v>
      </c>
      <c r="C137" s="422">
        <v>8238607</v>
      </c>
      <c r="D137" s="423"/>
      <c r="G137" s="420" t="s">
        <v>896</v>
      </c>
      <c r="H137" s="421" t="s">
        <v>89</v>
      </c>
      <c r="I137" s="422">
        <v>8238607</v>
      </c>
      <c r="J137" s="423"/>
      <c r="K137" s="414"/>
    </row>
    <row r="138" spans="1:11" ht="21" customHeight="1">
      <c r="A138" s="420" t="s">
        <v>897</v>
      </c>
      <c r="B138" s="421" t="s">
        <v>89</v>
      </c>
      <c r="C138" s="422">
        <v>15131111.69</v>
      </c>
      <c r="D138" s="423"/>
      <c r="G138" s="420" t="s">
        <v>897</v>
      </c>
      <c r="H138" s="421" t="s">
        <v>89</v>
      </c>
      <c r="I138" s="422">
        <v>15131113.63</v>
      </c>
      <c r="J138" s="423"/>
      <c r="K138" s="414"/>
    </row>
    <row r="139" spans="1:11" ht="21" customHeight="1">
      <c r="A139" s="420" t="s">
        <v>898</v>
      </c>
      <c r="B139" s="421" t="s">
        <v>89</v>
      </c>
      <c r="C139" s="422">
        <v>634406.66</v>
      </c>
      <c r="D139" s="423"/>
      <c r="G139" s="420" t="s">
        <v>898</v>
      </c>
      <c r="H139" s="421" t="s">
        <v>89</v>
      </c>
      <c r="I139" s="422">
        <v>634406.66</v>
      </c>
      <c r="J139" s="423"/>
      <c r="K139" s="414"/>
    </row>
    <row r="140" spans="1:11" ht="21" customHeight="1">
      <c r="A140" s="420" t="s">
        <v>899</v>
      </c>
      <c r="B140" s="421" t="s">
        <v>89</v>
      </c>
      <c r="C140" s="422">
        <v>11974494.65</v>
      </c>
      <c r="D140" s="423"/>
      <c r="E140" s="416">
        <f>SUM(C134:C140)</f>
        <v>41961721.13</v>
      </c>
      <c r="G140" s="420" t="s">
        <v>899</v>
      </c>
      <c r="H140" s="421" t="s">
        <v>89</v>
      </c>
      <c r="I140" s="422">
        <v>11974494.65</v>
      </c>
      <c r="J140" s="423"/>
      <c r="K140" s="416">
        <f>SUM(I134:I140)</f>
        <v>41961723.07</v>
      </c>
    </row>
    <row r="141" spans="1:11" ht="21" customHeight="1">
      <c r="A141" s="420" t="s">
        <v>96</v>
      </c>
      <c r="B141" s="424">
        <v>701</v>
      </c>
      <c r="C141" s="422">
        <v>1681293.82</v>
      </c>
      <c r="D141" s="423"/>
      <c r="G141" s="420" t="s">
        <v>96</v>
      </c>
      <c r="H141" s="424">
        <v>701</v>
      </c>
      <c r="I141" s="422">
        <v>1681293.82</v>
      </c>
      <c r="J141" s="423"/>
      <c r="K141" s="414"/>
    </row>
    <row r="142" spans="1:11" ht="21" customHeight="1">
      <c r="A142" s="420" t="s">
        <v>875</v>
      </c>
      <c r="B142" s="424" t="s">
        <v>98</v>
      </c>
      <c r="C142" s="422">
        <v>20107.7</v>
      </c>
      <c r="D142" s="423"/>
      <c r="G142" s="420" t="s">
        <v>875</v>
      </c>
      <c r="H142" s="424" t="s">
        <v>98</v>
      </c>
      <c r="I142" s="422">
        <v>20107.7</v>
      </c>
      <c r="J142" s="423"/>
      <c r="K142" s="414"/>
    </row>
    <row r="143" spans="1:11" ht="21" customHeight="1">
      <c r="A143" s="420" t="s">
        <v>99</v>
      </c>
      <c r="B143" s="597">
        <v>707</v>
      </c>
      <c r="C143" s="422">
        <v>100450</v>
      </c>
      <c r="D143" s="423"/>
      <c r="G143" s="420" t="s">
        <v>99</v>
      </c>
      <c r="H143" s="597">
        <v>707</v>
      </c>
      <c r="I143" s="422">
        <v>100450</v>
      </c>
      <c r="J143" s="423"/>
      <c r="K143" s="414"/>
    </row>
    <row r="144" spans="1:11" ht="21" customHeight="1">
      <c r="A144" s="420" t="s">
        <v>672</v>
      </c>
      <c r="B144" s="425" t="s">
        <v>673</v>
      </c>
      <c r="C144" s="422">
        <v>610205</v>
      </c>
      <c r="D144" s="423"/>
      <c r="G144" s="420" t="s">
        <v>672</v>
      </c>
      <c r="H144" s="425" t="s">
        <v>673</v>
      </c>
      <c r="I144" s="422">
        <v>610205</v>
      </c>
      <c r="J144" s="423"/>
      <c r="K144" s="414"/>
    </row>
    <row r="145" spans="1:11" ht="21" customHeight="1">
      <c r="A145" s="420" t="s">
        <v>100</v>
      </c>
      <c r="B145" s="421" t="s">
        <v>101</v>
      </c>
      <c r="C145" s="421">
        <v>33600</v>
      </c>
      <c r="D145" s="423"/>
      <c r="G145" s="420" t="s">
        <v>100</v>
      </c>
      <c r="H145" s="421" t="s">
        <v>101</v>
      </c>
      <c r="I145" s="421">
        <v>33600</v>
      </c>
      <c r="J145" s="423"/>
      <c r="K145" s="414"/>
    </row>
    <row r="146" spans="1:11" ht="21" customHeight="1">
      <c r="A146" s="420" t="s">
        <v>73</v>
      </c>
      <c r="B146" s="424">
        <v>100</v>
      </c>
      <c r="C146" s="421">
        <v>1831888.7</v>
      </c>
      <c r="D146" s="423"/>
      <c r="E146" s="415"/>
      <c r="F146" s="580"/>
      <c r="G146" s="420" t="s">
        <v>73</v>
      </c>
      <c r="H146" s="424">
        <v>100</v>
      </c>
      <c r="I146" s="421">
        <v>1831888.7</v>
      </c>
      <c r="J146" s="423"/>
      <c r="K146" s="415"/>
    </row>
    <row r="147" spans="1:11" ht="21" customHeight="1">
      <c r="A147" s="420" t="s">
        <v>46</v>
      </c>
      <c r="B147" s="424">
        <v>120</v>
      </c>
      <c r="C147" s="422">
        <v>64800</v>
      </c>
      <c r="D147" s="423"/>
      <c r="E147" s="415"/>
      <c r="F147" s="580"/>
      <c r="G147" s="420" t="s">
        <v>46</v>
      </c>
      <c r="H147" s="424">
        <v>120</v>
      </c>
      <c r="I147" s="422">
        <v>64800</v>
      </c>
      <c r="J147" s="423"/>
      <c r="K147" s="415"/>
    </row>
    <row r="148" spans="1:11" ht="21" customHeight="1">
      <c r="A148" s="420" t="s">
        <v>74</v>
      </c>
      <c r="B148" s="424">
        <v>130</v>
      </c>
      <c r="C148" s="422">
        <v>843805</v>
      </c>
      <c r="D148" s="423"/>
      <c r="E148" s="415"/>
      <c r="F148" s="580"/>
      <c r="G148" s="420" t="s">
        <v>74</v>
      </c>
      <c r="H148" s="424">
        <v>130</v>
      </c>
      <c r="I148" s="422">
        <v>843805</v>
      </c>
      <c r="J148" s="423"/>
      <c r="K148" s="415"/>
    </row>
    <row r="149" spans="1:11" ht="21" customHeight="1">
      <c r="A149" s="420" t="s">
        <v>75</v>
      </c>
      <c r="B149" s="424">
        <v>200</v>
      </c>
      <c r="C149" s="422">
        <v>39200</v>
      </c>
      <c r="D149" s="423"/>
      <c r="E149" s="415"/>
      <c r="F149" s="580"/>
      <c r="G149" s="420" t="s">
        <v>75</v>
      </c>
      <c r="H149" s="424">
        <v>200</v>
      </c>
      <c r="I149" s="422">
        <v>39200</v>
      </c>
      <c r="J149" s="423"/>
      <c r="K149" s="415"/>
    </row>
    <row r="150" spans="1:11" ht="21" customHeight="1">
      <c r="A150" s="420" t="s">
        <v>76</v>
      </c>
      <c r="B150" s="424">
        <v>250</v>
      </c>
      <c r="C150" s="422">
        <v>686202</v>
      </c>
      <c r="D150" s="423"/>
      <c r="E150" s="415"/>
      <c r="F150" s="580"/>
      <c r="G150" s="420" t="s">
        <v>76</v>
      </c>
      <c r="H150" s="424">
        <v>250</v>
      </c>
      <c r="I150" s="422">
        <v>686202</v>
      </c>
      <c r="J150" s="423"/>
      <c r="K150" s="415"/>
    </row>
    <row r="151" spans="1:11" ht="21" customHeight="1">
      <c r="A151" s="420" t="s">
        <v>77</v>
      </c>
      <c r="B151" s="424">
        <v>270</v>
      </c>
      <c r="C151" s="422">
        <v>253294.8</v>
      </c>
      <c r="D151" s="423"/>
      <c r="E151" s="415"/>
      <c r="F151" s="580"/>
      <c r="G151" s="420" t="s">
        <v>77</v>
      </c>
      <c r="H151" s="424">
        <v>270</v>
      </c>
      <c r="I151" s="422">
        <v>253294.8</v>
      </c>
      <c r="J151" s="423"/>
      <c r="K151" s="415"/>
    </row>
    <row r="152" spans="1:11" ht="21" customHeight="1">
      <c r="A152" s="420" t="s">
        <v>51</v>
      </c>
      <c r="B152" s="424">
        <v>300</v>
      </c>
      <c r="C152" s="422">
        <v>83394.92</v>
      </c>
      <c r="D152" s="423"/>
      <c r="E152" s="415"/>
      <c r="F152" s="580"/>
      <c r="G152" s="420" t="s">
        <v>51</v>
      </c>
      <c r="H152" s="424">
        <v>300</v>
      </c>
      <c r="I152" s="422">
        <v>83394.92</v>
      </c>
      <c r="J152" s="423"/>
      <c r="K152" s="415"/>
    </row>
    <row r="153" spans="1:11" ht="21" customHeight="1">
      <c r="A153" s="420" t="s">
        <v>54</v>
      </c>
      <c r="B153" s="424">
        <v>450</v>
      </c>
      <c r="C153" s="422"/>
      <c r="D153" s="423"/>
      <c r="E153" s="415"/>
      <c r="F153" s="580"/>
      <c r="G153" s="420" t="s">
        <v>54</v>
      </c>
      <c r="H153" s="424">
        <v>450</v>
      </c>
      <c r="I153" s="422"/>
      <c r="J153" s="423"/>
      <c r="K153" s="415"/>
    </row>
    <row r="154" spans="1:11" ht="21" customHeight="1">
      <c r="A154" s="420" t="s">
        <v>55</v>
      </c>
      <c r="B154" s="424">
        <v>500</v>
      </c>
      <c r="C154" s="422"/>
      <c r="D154" s="423"/>
      <c r="E154" s="415"/>
      <c r="F154" s="580"/>
      <c r="G154" s="420" t="s">
        <v>55</v>
      </c>
      <c r="H154" s="424">
        <v>500</v>
      </c>
      <c r="I154" s="422"/>
      <c r="J154" s="423"/>
      <c r="K154" s="415"/>
    </row>
    <row r="155" spans="1:11" ht="21" customHeight="1">
      <c r="A155" s="420" t="s">
        <v>2</v>
      </c>
      <c r="B155" s="426" t="s">
        <v>102</v>
      </c>
      <c r="C155" s="422">
        <v>791750</v>
      </c>
      <c r="D155" s="423"/>
      <c r="E155" s="415"/>
      <c r="F155" s="583" t="s">
        <v>885</v>
      </c>
      <c r="G155" s="420" t="s">
        <v>2</v>
      </c>
      <c r="H155" s="426" t="s">
        <v>102</v>
      </c>
      <c r="I155" s="422">
        <v>791750</v>
      </c>
      <c r="J155" s="423"/>
      <c r="K155" s="415"/>
    </row>
    <row r="156" spans="1:11" ht="21" customHeight="1">
      <c r="A156" s="420" t="s">
        <v>52</v>
      </c>
      <c r="B156" s="424">
        <v>400</v>
      </c>
      <c r="C156" s="422">
        <v>688600</v>
      </c>
      <c r="D156" s="423"/>
      <c r="E156" s="415"/>
      <c r="F156" s="580">
        <f>SUM(C146:C156)</f>
        <v>5282935.42</v>
      </c>
      <c r="G156" s="420" t="s">
        <v>52</v>
      </c>
      <c r="H156" s="424">
        <v>400</v>
      </c>
      <c r="I156" s="422">
        <v>688600</v>
      </c>
      <c r="J156" s="423"/>
      <c r="K156" s="415"/>
    </row>
    <row r="157" spans="1:11" ht="21" customHeight="1">
      <c r="A157" s="420" t="s">
        <v>877</v>
      </c>
      <c r="B157" s="424" t="s">
        <v>879</v>
      </c>
      <c r="C157" s="422">
        <v>473500</v>
      </c>
      <c r="D157" s="423"/>
      <c r="G157" s="420" t="s">
        <v>877</v>
      </c>
      <c r="H157" s="424" t="s">
        <v>879</v>
      </c>
      <c r="I157" s="422">
        <v>473500</v>
      </c>
      <c r="J157" s="423"/>
      <c r="K157" s="414"/>
    </row>
    <row r="158" spans="1:11" ht="21" customHeight="1">
      <c r="A158" s="420" t="s">
        <v>878</v>
      </c>
      <c r="B158" s="424" t="s">
        <v>879</v>
      </c>
      <c r="C158" s="422">
        <v>3080300</v>
      </c>
      <c r="D158" s="423"/>
      <c r="G158" s="420" t="s">
        <v>878</v>
      </c>
      <c r="H158" s="424" t="s">
        <v>879</v>
      </c>
      <c r="I158" s="422">
        <v>3080300</v>
      </c>
      <c r="J158" s="423"/>
      <c r="K158" s="414"/>
    </row>
    <row r="159" spans="1:11" ht="21" customHeight="1">
      <c r="A159" s="420" t="s">
        <v>902</v>
      </c>
      <c r="B159" s="424"/>
      <c r="C159" s="422">
        <v>5625</v>
      </c>
      <c r="D159" s="423"/>
      <c r="G159" s="420" t="s">
        <v>902</v>
      </c>
      <c r="H159" s="424"/>
      <c r="I159" s="422">
        <v>5625</v>
      </c>
      <c r="J159" s="423"/>
      <c r="K159" s="414"/>
    </row>
    <row r="160" spans="1:11" ht="21" customHeight="1">
      <c r="A160" s="420" t="s">
        <v>903</v>
      </c>
      <c r="B160" s="424"/>
      <c r="C160" s="422">
        <v>178000</v>
      </c>
      <c r="D160" s="423"/>
      <c r="G160" s="420" t="s">
        <v>903</v>
      </c>
      <c r="H160" s="424"/>
      <c r="I160" s="422">
        <v>178000</v>
      </c>
      <c r="J160" s="423"/>
      <c r="K160" s="414"/>
    </row>
    <row r="161" spans="1:11" ht="21" customHeight="1">
      <c r="A161" s="420" t="s">
        <v>103</v>
      </c>
      <c r="B161" s="424">
        <v>821</v>
      </c>
      <c r="C161" s="422"/>
      <c r="D161" s="423">
        <f>21186227.24</f>
        <v>21186227.24</v>
      </c>
      <c r="E161" s="417">
        <v>21186227.24</v>
      </c>
      <c r="F161" s="417">
        <f>+E161-D161</f>
        <v>0</v>
      </c>
      <c r="G161" s="420" t="s">
        <v>103</v>
      </c>
      <c r="H161" s="424">
        <v>821</v>
      </c>
      <c r="I161" s="422"/>
      <c r="J161" s="423">
        <f>21186227.24</f>
        <v>21186227.24</v>
      </c>
      <c r="K161" s="417">
        <v>21186227.24</v>
      </c>
    </row>
    <row r="162" spans="1:11" ht="21" customHeight="1">
      <c r="A162" s="420" t="s">
        <v>104</v>
      </c>
      <c r="B162" s="424">
        <v>900</v>
      </c>
      <c r="C162" s="422"/>
      <c r="D162" s="423">
        <v>826752.54</v>
      </c>
      <c r="G162" s="420" t="s">
        <v>104</v>
      </c>
      <c r="H162" s="424">
        <v>900</v>
      </c>
      <c r="I162" s="422"/>
      <c r="J162" s="423">
        <v>826752.54</v>
      </c>
      <c r="K162" s="414"/>
    </row>
    <row r="163" spans="1:11" ht="21" customHeight="1" hidden="1">
      <c r="A163" s="420" t="s">
        <v>105</v>
      </c>
      <c r="B163" s="424"/>
      <c r="C163" s="421"/>
      <c r="D163" s="423"/>
      <c r="G163" s="420" t="s">
        <v>105</v>
      </c>
      <c r="H163" s="424"/>
      <c r="I163" s="421"/>
      <c r="J163" s="423"/>
      <c r="K163" s="414"/>
    </row>
    <row r="164" spans="1:11" ht="21" customHeight="1">
      <c r="A164" s="420" t="s">
        <v>106</v>
      </c>
      <c r="B164" s="424">
        <v>600</v>
      </c>
      <c r="C164" s="421"/>
      <c r="D164" s="423">
        <v>0</v>
      </c>
      <c r="G164" s="420" t="s">
        <v>106</v>
      </c>
      <c r="H164" s="424">
        <v>600</v>
      </c>
      <c r="I164" s="421"/>
      <c r="J164" s="423">
        <v>0</v>
      </c>
      <c r="K164" s="414"/>
    </row>
    <row r="165" spans="1:11" ht="21" customHeight="1">
      <c r="A165" s="420" t="s">
        <v>107</v>
      </c>
      <c r="B165" s="424">
        <v>700</v>
      </c>
      <c r="C165" s="421"/>
      <c r="D165" s="423">
        <v>15374396.04</v>
      </c>
      <c r="G165" s="420" t="s">
        <v>107</v>
      </c>
      <c r="H165" s="424">
        <v>700</v>
      </c>
      <c r="I165" s="421"/>
      <c r="J165" s="423">
        <v>15374397.98</v>
      </c>
      <c r="K165" s="414"/>
    </row>
    <row r="166" spans="1:11" ht="21" customHeight="1">
      <c r="A166" s="420" t="s">
        <v>108</v>
      </c>
      <c r="B166" s="424" t="s">
        <v>900</v>
      </c>
      <c r="C166" s="421"/>
      <c r="D166" s="423">
        <v>15305505.59</v>
      </c>
      <c r="G166" s="420" t="s">
        <v>108</v>
      </c>
      <c r="H166" s="424" t="s">
        <v>900</v>
      </c>
      <c r="I166" s="421"/>
      <c r="J166" s="423">
        <v>15305505.59</v>
      </c>
      <c r="K166" s="414"/>
    </row>
    <row r="167" spans="1:11" ht="21" customHeight="1" hidden="1">
      <c r="A167" s="420" t="s">
        <v>109</v>
      </c>
      <c r="B167" s="424" t="s">
        <v>671</v>
      </c>
      <c r="C167" s="421"/>
      <c r="D167" s="423"/>
      <c r="G167" s="420" t="s">
        <v>109</v>
      </c>
      <c r="H167" s="424" t="s">
        <v>671</v>
      </c>
      <c r="I167" s="421"/>
      <c r="J167" s="423"/>
      <c r="K167" s="414"/>
    </row>
    <row r="168" spans="1:11" ht="21" customHeight="1">
      <c r="A168" s="420" t="s">
        <v>110</v>
      </c>
      <c r="B168" s="424" t="s">
        <v>89</v>
      </c>
      <c r="C168" s="421"/>
      <c r="D168" s="423">
        <v>734856.66</v>
      </c>
      <c r="G168" s="420" t="s">
        <v>110</v>
      </c>
      <c r="H168" s="424" t="s">
        <v>89</v>
      </c>
      <c r="I168" s="421"/>
      <c r="J168" s="423">
        <v>734856.66</v>
      </c>
      <c r="K168" s="414"/>
    </row>
    <row r="169" spans="1:11" ht="21" customHeight="1" hidden="1">
      <c r="A169" s="420" t="s">
        <v>111</v>
      </c>
      <c r="B169" s="424"/>
      <c r="C169" s="421"/>
      <c r="D169" s="423"/>
      <c r="G169" s="420" t="s">
        <v>111</v>
      </c>
      <c r="H169" s="424"/>
      <c r="I169" s="421"/>
      <c r="J169" s="423"/>
      <c r="K169" s="414"/>
    </row>
    <row r="170" spans="1:11" ht="21" customHeight="1">
      <c r="A170" s="427"/>
      <c r="B170" s="427"/>
      <c r="C170" s="584">
        <f>SUM(C133:C169)</f>
        <v>53427738.07000001</v>
      </c>
      <c r="D170" s="584">
        <f>SUM(D133:D169)</f>
        <v>53427738.06999999</v>
      </c>
      <c r="E170" s="416">
        <f>+D170-C170</f>
        <v>0</v>
      </c>
      <c r="G170" s="427"/>
      <c r="H170" s="427"/>
      <c r="I170" s="584">
        <f>SUM(I133:I169)</f>
        <v>53427740.010000005</v>
      </c>
      <c r="J170" s="584">
        <f>SUM(J133:J169)</f>
        <v>53427740.00999999</v>
      </c>
      <c r="K170" s="416">
        <f>+J170-I170</f>
        <v>0</v>
      </c>
    </row>
    <row r="172" spans="1:11" ht="21" customHeight="1">
      <c r="A172" s="751" t="s">
        <v>30</v>
      </c>
      <c r="B172" s="751"/>
      <c r="C172" s="751"/>
      <c r="D172" s="751"/>
      <c r="G172" s="751" t="s">
        <v>30</v>
      </c>
      <c r="H172" s="751"/>
      <c r="I172" s="751"/>
      <c r="J172" s="751"/>
      <c r="K172" s="414"/>
    </row>
    <row r="173" spans="1:11" ht="21" customHeight="1">
      <c r="A173" s="751" t="s">
        <v>141</v>
      </c>
      <c r="B173" s="751"/>
      <c r="C173" s="751"/>
      <c r="D173" s="751"/>
      <c r="G173" s="751" t="s">
        <v>141</v>
      </c>
      <c r="H173" s="751"/>
      <c r="I173" s="751"/>
      <c r="J173" s="751"/>
      <c r="K173" s="414"/>
    </row>
    <row r="174" spans="1:11" ht="21" customHeight="1">
      <c r="A174" s="751" t="s">
        <v>907</v>
      </c>
      <c r="B174" s="751"/>
      <c r="C174" s="751"/>
      <c r="D174" s="751"/>
      <c r="G174" s="751" t="s">
        <v>907</v>
      </c>
      <c r="H174" s="751"/>
      <c r="I174" s="751"/>
      <c r="J174" s="751"/>
      <c r="K174" s="414"/>
    </row>
    <row r="175" spans="1:11" ht="21" customHeight="1">
      <c r="A175" s="418" t="s">
        <v>32</v>
      </c>
      <c r="B175" s="418" t="s">
        <v>83</v>
      </c>
      <c r="C175" s="419" t="s">
        <v>84</v>
      </c>
      <c r="D175" s="419" t="s">
        <v>85</v>
      </c>
      <c r="G175" s="418" t="s">
        <v>32</v>
      </c>
      <c r="H175" s="418" t="s">
        <v>83</v>
      </c>
      <c r="I175" s="419" t="s">
        <v>84</v>
      </c>
      <c r="J175" s="419" t="s">
        <v>85</v>
      </c>
      <c r="K175" s="414"/>
    </row>
    <row r="176" spans="1:11" ht="21" customHeight="1">
      <c r="A176" s="420" t="s">
        <v>86</v>
      </c>
      <c r="B176" s="421" t="s">
        <v>87</v>
      </c>
      <c r="C176" s="422"/>
      <c r="D176" s="423"/>
      <c r="G176" s="420" t="s">
        <v>86</v>
      </c>
      <c r="H176" s="421" t="s">
        <v>87</v>
      </c>
      <c r="I176" s="422"/>
      <c r="J176" s="423"/>
      <c r="K176" s="414"/>
    </row>
    <row r="177" spans="1:11" ht="21" customHeight="1">
      <c r="A177" s="420" t="s">
        <v>893</v>
      </c>
      <c r="B177" s="421" t="s">
        <v>89</v>
      </c>
      <c r="C177" s="603">
        <v>512903.87</v>
      </c>
      <c r="D177" s="423"/>
      <c r="G177" s="420" t="s">
        <v>893</v>
      </c>
      <c r="H177" s="421" t="s">
        <v>89</v>
      </c>
      <c r="I177" s="603">
        <v>512903.87</v>
      </c>
      <c r="J177" s="423"/>
      <c r="K177" s="414"/>
    </row>
    <row r="178" spans="1:11" ht="21" customHeight="1">
      <c r="A178" s="420" t="s">
        <v>895</v>
      </c>
      <c r="B178" s="421" t="s">
        <v>89</v>
      </c>
      <c r="C178" s="603">
        <v>4691000</v>
      </c>
      <c r="D178" s="423"/>
      <c r="G178" s="420" t="s">
        <v>895</v>
      </c>
      <c r="H178" s="421" t="s">
        <v>89</v>
      </c>
      <c r="I178" s="603">
        <v>4691000</v>
      </c>
      <c r="J178" s="423"/>
      <c r="K178" s="414"/>
    </row>
    <row r="179" spans="1:11" ht="21" customHeight="1">
      <c r="A179" s="420" t="s">
        <v>894</v>
      </c>
      <c r="B179" s="421" t="s">
        <v>89</v>
      </c>
      <c r="C179" s="604">
        <v>2849513.59</v>
      </c>
      <c r="D179" s="423"/>
      <c r="G179" s="420" t="s">
        <v>894</v>
      </c>
      <c r="H179" s="421" t="s">
        <v>89</v>
      </c>
      <c r="I179" s="604">
        <v>2849513.59</v>
      </c>
      <c r="J179" s="423"/>
      <c r="K179" s="414"/>
    </row>
    <row r="180" spans="1:11" ht="21" customHeight="1">
      <c r="A180" s="420" t="s">
        <v>896</v>
      </c>
      <c r="B180" s="421" t="s">
        <v>89</v>
      </c>
      <c r="C180" s="603">
        <v>1460904.17</v>
      </c>
      <c r="D180" s="423"/>
      <c r="G180" s="420" t="s">
        <v>896</v>
      </c>
      <c r="H180" s="421" t="s">
        <v>89</v>
      </c>
      <c r="I180" s="603">
        <v>1460904.17</v>
      </c>
      <c r="J180" s="423"/>
      <c r="K180" s="414"/>
    </row>
    <row r="181" spans="1:11" ht="21" customHeight="1">
      <c r="A181" s="420" t="s">
        <v>897</v>
      </c>
      <c r="B181" s="421" t="s">
        <v>89</v>
      </c>
      <c r="C181" s="603">
        <f>22759184.01</f>
        <v>22759184.01</v>
      </c>
      <c r="D181" s="423"/>
      <c r="G181" s="420" t="s">
        <v>897</v>
      </c>
      <c r="H181" s="421" t="s">
        <v>89</v>
      </c>
      <c r="I181" s="603">
        <f>22759184.01</f>
        <v>22759184.01</v>
      </c>
      <c r="J181" s="423"/>
      <c r="K181" s="414"/>
    </row>
    <row r="182" spans="1:11" ht="21" customHeight="1">
      <c r="A182" s="420" t="s">
        <v>898</v>
      </c>
      <c r="B182" s="421" t="s">
        <v>89</v>
      </c>
      <c r="C182" s="603">
        <v>634406.66</v>
      </c>
      <c r="D182" s="423"/>
      <c r="G182" s="420" t="s">
        <v>898</v>
      </c>
      <c r="H182" s="421" t="s">
        <v>89</v>
      </c>
      <c r="I182" s="603">
        <v>634406.66</v>
      </c>
      <c r="J182" s="423"/>
      <c r="K182" s="414"/>
    </row>
    <row r="183" spans="1:11" ht="21" customHeight="1">
      <c r="A183" s="420" t="s">
        <v>899</v>
      </c>
      <c r="B183" s="421" t="s">
        <v>89</v>
      </c>
      <c r="C183" s="603">
        <v>11989080.54</v>
      </c>
      <c r="D183" s="423"/>
      <c r="E183" s="416">
        <f>SUM(C177:C183)</f>
        <v>44896992.84</v>
      </c>
      <c r="G183" s="420" t="s">
        <v>899</v>
      </c>
      <c r="H183" s="421" t="s">
        <v>89</v>
      </c>
      <c r="I183" s="603">
        <v>11989080.54</v>
      </c>
      <c r="J183" s="423"/>
      <c r="K183" s="416">
        <f>SUM(I177:I183)</f>
        <v>44896992.84</v>
      </c>
    </row>
    <row r="184" spans="1:11" ht="21" customHeight="1">
      <c r="A184" s="420" t="s">
        <v>96</v>
      </c>
      <c r="B184" s="424">
        <v>701</v>
      </c>
      <c r="C184" s="603">
        <v>1681293.82</v>
      </c>
      <c r="D184" s="423"/>
      <c r="G184" s="420" t="s">
        <v>96</v>
      </c>
      <c r="H184" s="424">
        <v>701</v>
      </c>
      <c r="I184" s="603">
        <v>1681293.82</v>
      </c>
      <c r="J184" s="423"/>
      <c r="K184" s="414"/>
    </row>
    <row r="185" spans="1:11" ht="21" customHeight="1">
      <c r="A185" s="420" t="s">
        <v>875</v>
      </c>
      <c r="B185" s="424" t="s">
        <v>98</v>
      </c>
      <c r="C185" s="603">
        <v>19926.25</v>
      </c>
      <c r="D185" s="423"/>
      <c r="G185" s="420" t="s">
        <v>875</v>
      </c>
      <c r="H185" s="424" t="s">
        <v>98</v>
      </c>
      <c r="I185" s="603">
        <v>19926.25</v>
      </c>
      <c r="J185" s="423"/>
      <c r="K185" s="414"/>
    </row>
    <row r="186" spans="1:11" ht="21" customHeight="1">
      <c r="A186" s="420" t="s">
        <v>99</v>
      </c>
      <c r="B186" s="597">
        <v>707</v>
      </c>
      <c r="C186" s="603">
        <v>100450</v>
      </c>
      <c r="D186" s="423"/>
      <c r="G186" s="420" t="s">
        <v>99</v>
      </c>
      <c r="H186" s="597">
        <v>707</v>
      </c>
      <c r="I186" s="603">
        <v>100450</v>
      </c>
      <c r="J186" s="423"/>
      <c r="K186" s="414"/>
    </row>
    <row r="187" spans="1:11" ht="21" customHeight="1">
      <c r="A187" s="420" t="s">
        <v>672</v>
      </c>
      <c r="B187" s="425" t="s">
        <v>673</v>
      </c>
      <c r="C187" s="603">
        <v>796190</v>
      </c>
      <c r="D187" s="423"/>
      <c r="G187" s="420" t="s">
        <v>672</v>
      </c>
      <c r="H187" s="425" t="s">
        <v>673</v>
      </c>
      <c r="I187" s="603">
        <v>796190</v>
      </c>
      <c r="J187" s="423"/>
      <c r="K187" s="414"/>
    </row>
    <row r="188" spans="1:11" ht="21" customHeight="1">
      <c r="A188" s="420" t="s">
        <v>100</v>
      </c>
      <c r="B188" s="421" t="s">
        <v>101</v>
      </c>
      <c r="C188" s="604">
        <v>97040</v>
      </c>
      <c r="D188" s="423"/>
      <c r="G188" s="420" t="s">
        <v>100</v>
      </c>
      <c r="H188" s="421" t="s">
        <v>101</v>
      </c>
      <c r="I188" s="604">
        <v>97040</v>
      </c>
      <c r="J188" s="423"/>
      <c r="K188" s="414"/>
    </row>
    <row r="189" spans="1:11" ht="21" customHeight="1">
      <c r="A189" s="420" t="s">
        <v>73</v>
      </c>
      <c r="B189" s="424">
        <v>100</v>
      </c>
      <c r="C189" s="604">
        <v>2465343.7</v>
      </c>
      <c r="D189" s="423"/>
      <c r="E189" s="415"/>
      <c r="F189" s="580"/>
      <c r="G189" s="420" t="s">
        <v>73</v>
      </c>
      <c r="H189" s="424">
        <v>100</v>
      </c>
      <c r="I189" s="604">
        <v>2465343.7</v>
      </c>
      <c r="J189" s="423"/>
      <c r="K189" s="415"/>
    </row>
    <row r="190" spans="1:11" ht="21" customHeight="1">
      <c r="A190" s="420" t="s">
        <v>46</v>
      </c>
      <c r="B190" s="424">
        <v>120</v>
      </c>
      <c r="C190" s="603">
        <v>81760</v>
      </c>
      <c r="D190" s="423"/>
      <c r="E190" s="415"/>
      <c r="F190" s="580"/>
      <c r="G190" s="420" t="s">
        <v>46</v>
      </c>
      <c r="H190" s="424">
        <v>120</v>
      </c>
      <c r="I190" s="603">
        <v>81760</v>
      </c>
      <c r="J190" s="423"/>
      <c r="K190" s="415"/>
    </row>
    <row r="191" spans="1:11" ht="21" customHeight="1">
      <c r="A191" s="420" t="s">
        <v>74</v>
      </c>
      <c r="B191" s="424">
        <v>130</v>
      </c>
      <c r="C191" s="603">
        <v>1116990</v>
      </c>
      <c r="D191" s="423"/>
      <c r="E191" s="415"/>
      <c r="F191" s="580"/>
      <c r="G191" s="420" t="s">
        <v>74</v>
      </c>
      <c r="H191" s="424">
        <v>130</v>
      </c>
      <c r="I191" s="603">
        <v>1116990</v>
      </c>
      <c r="J191" s="423"/>
      <c r="K191" s="415"/>
    </row>
    <row r="192" spans="1:11" ht="21" customHeight="1">
      <c r="A192" s="420" t="s">
        <v>75</v>
      </c>
      <c r="B192" s="424">
        <v>200</v>
      </c>
      <c r="C192" s="603">
        <v>68200</v>
      </c>
      <c r="D192" s="423"/>
      <c r="E192" s="415"/>
      <c r="F192" s="580"/>
      <c r="G192" s="420" t="s">
        <v>75</v>
      </c>
      <c r="H192" s="424">
        <v>200</v>
      </c>
      <c r="I192" s="603">
        <v>68200</v>
      </c>
      <c r="J192" s="423"/>
      <c r="K192" s="415"/>
    </row>
    <row r="193" spans="1:11" ht="21" customHeight="1">
      <c r="A193" s="420" t="s">
        <v>76</v>
      </c>
      <c r="B193" s="424">
        <v>250</v>
      </c>
      <c r="C193" s="603">
        <v>991152.9</v>
      </c>
      <c r="D193" s="423"/>
      <c r="E193" s="415"/>
      <c r="F193" s="580"/>
      <c r="G193" s="420" t="s">
        <v>76</v>
      </c>
      <c r="H193" s="424">
        <v>250</v>
      </c>
      <c r="I193" s="603">
        <v>991152.9</v>
      </c>
      <c r="J193" s="423"/>
      <c r="K193" s="415"/>
    </row>
    <row r="194" spans="1:11" ht="21" customHeight="1">
      <c r="A194" s="420" t="s">
        <v>77</v>
      </c>
      <c r="B194" s="424">
        <v>270</v>
      </c>
      <c r="C194" s="603">
        <v>489561.32</v>
      </c>
      <c r="D194" s="423"/>
      <c r="E194" s="415"/>
      <c r="F194" s="580"/>
      <c r="G194" s="420" t="s">
        <v>77</v>
      </c>
      <c r="H194" s="424">
        <v>270</v>
      </c>
      <c r="I194" s="603">
        <v>489561.32</v>
      </c>
      <c r="J194" s="423"/>
      <c r="K194" s="415"/>
    </row>
    <row r="195" spans="1:11" ht="21" customHeight="1">
      <c r="A195" s="420" t="s">
        <v>51</v>
      </c>
      <c r="B195" s="424">
        <v>300</v>
      </c>
      <c r="C195" s="603">
        <v>83394.92</v>
      </c>
      <c r="D195" s="423"/>
      <c r="E195" s="415"/>
      <c r="F195" s="580"/>
      <c r="G195" s="420" t="s">
        <v>51</v>
      </c>
      <c r="H195" s="424">
        <v>300</v>
      </c>
      <c r="I195" s="603">
        <v>83394.92</v>
      </c>
      <c r="J195" s="423"/>
      <c r="K195" s="415"/>
    </row>
    <row r="196" spans="1:11" ht="21" customHeight="1">
      <c r="A196" s="420" t="s">
        <v>54</v>
      </c>
      <c r="B196" s="424">
        <v>450</v>
      </c>
      <c r="C196" s="603">
        <v>63000</v>
      </c>
      <c r="D196" s="423"/>
      <c r="E196" s="415"/>
      <c r="F196" s="580"/>
      <c r="G196" s="420" t="s">
        <v>54</v>
      </c>
      <c r="H196" s="424">
        <v>450</v>
      </c>
      <c r="I196" s="603">
        <v>63000</v>
      </c>
      <c r="J196" s="423"/>
      <c r="K196" s="415"/>
    </row>
    <row r="197" spans="1:11" ht="21" customHeight="1">
      <c r="A197" s="420" t="s">
        <v>55</v>
      </c>
      <c r="B197" s="424">
        <v>500</v>
      </c>
      <c r="C197" s="422"/>
      <c r="D197" s="423"/>
      <c r="E197" s="415"/>
      <c r="F197" s="580"/>
      <c r="G197" s="420" t="s">
        <v>55</v>
      </c>
      <c r="H197" s="424">
        <v>500</v>
      </c>
      <c r="I197" s="422"/>
      <c r="J197" s="423"/>
      <c r="K197" s="415"/>
    </row>
    <row r="198" spans="1:11" ht="21" customHeight="1">
      <c r="A198" s="420" t="s">
        <v>2</v>
      </c>
      <c r="B198" s="426" t="s">
        <v>102</v>
      </c>
      <c r="C198" s="603">
        <v>913017</v>
      </c>
      <c r="D198" s="423"/>
      <c r="E198" s="415"/>
      <c r="F198" s="583" t="s">
        <v>885</v>
      </c>
      <c r="G198" s="420" t="s">
        <v>2</v>
      </c>
      <c r="H198" s="426" t="s">
        <v>102</v>
      </c>
      <c r="I198" s="603">
        <v>913017</v>
      </c>
      <c r="J198" s="423"/>
      <c r="K198" s="415"/>
    </row>
    <row r="199" spans="1:11" ht="21" customHeight="1">
      <c r="A199" s="420" t="s">
        <v>52</v>
      </c>
      <c r="B199" s="424">
        <v>400</v>
      </c>
      <c r="C199" s="603">
        <v>1730840</v>
      </c>
      <c r="D199" s="423"/>
      <c r="E199" s="415"/>
      <c r="F199" s="580">
        <f>SUM(C189:C199)</f>
        <v>8003259.840000001</v>
      </c>
      <c r="G199" s="420" t="s">
        <v>52</v>
      </c>
      <c r="H199" s="424">
        <v>400</v>
      </c>
      <c r="I199" s="603">
        <v>1730840</v>
      </c>
      <c r="J199" s="423"/>
      <c r="K199" s="415"/>
    </row>
    <row r="200" spans="1:11" ht="21" customHeight="1">
      <c r="A200" s="420" t="s">
        <v>877</v>
      </c>
      <c r="B200" s="424" t="s">
        <v>879</v>
      </c>
      <c r="C200" s="603">
        <v>629000</v>
      </c>
      <c r="D200" s="423"/>
      <c r="G200" s="420" t="s">
        <v>877</v>
      </c>
      <c r="H200" s="424" t="s">
        <v>879</v>
      </c>
      <c r="I200" s="603">
        <v>629000</v>
      </c>
      <c r="J200" s="423"/>
      <c r="K200" s="414"/>
    </row>
    <row r="201" spans="1:11" ht="21" customHeight="1">
      <c r="A201" s="420" t="s">
        <v>878</v>
      </c>
      <c r="B201" s="424" t="s">
        <v>879</v>
      </c>
      <c r="C201" s="603">
        <v>4095900</v>
      </c>
      <c r="D201" s="423"/>
      <c r="G201" s="420" t="s">
        <v>878</v>
      </c>
      <c r="H201" s="424" t="s">
        <v>879</v>
      </c>
      <c r="I201" s="603">
        <v>4095900</v>
      </c>
      <c r="J201" s="423"/>
      <c r="K201" s="414"/>
    </row>
    <row r="202" spans="1:11" ht="21" customHeight="1">
      <c r="A202" s="420" t="s">
        <v>902</v>
      </c>
      <c r="B202" s="424"/>
      <c r="C202" s="603">
        <v>15525</v>
      </c>
      <c r="D202" s="423"/>
      <c r="G202" s="420" t="s">
        <v>902</v>
      </c>
      <c r="H202" s="424"/>
      <c r="I202" s="603">
        <v>15525</v>
      </c>
      <c r="J202" s="423"/>
      <c r="K202" s="414"/>
    </row>
    <row r="203" spans="1:11" ht="21" customHeight="1">
      <c r="A203" s="420" t="s">
        <v>903</v>
      </c>
      <c r="B203" s="424"/>
      <c r="C203" s="603">
        <v>465000</v>
      </c>
      <c r="D203" s="423"/>
      <c r="G203" s="420" t="s">
        <v>903</v>
      </c>
      <c r="H203" s="424"/>
      <c r="I203" s="603">
        <v>465000</v>
      </c>
      <c r="J203" s="423"/>
      <c r="K203" s="414"/>
    </row>
    <row r="204" spans="1:11" ht="21" customHeight="1">
      <c r="A204" s="420" t="s">
        <v>913</v>
      </c>
      <c r="B204" s="424"/>
      <c r="C204" s="603"/>
      <c r="D204" s="603">
        <v>0.97</v>
      </c>
      <c r="G204" s="420" t="s">
        <v>913</v>
      </c>
      <c r="H204" s="424"/>
      <c r="I204" s="603"/>
      <c r="J204" s="603"/>
      <c r="K204" s="414"/>
    </row>
    <row r="205" spans="1:11" ht="21" customHeight="1">
      <c r="A205" s="420" t="s">
        <v>103</v>
      </c>
      <c r="B205" s="424">
        <v>821</v>
      </c>
      <c r="C205" s="422"/>
      <c r="D205" s="605">
        <v>28524602.61</v>
      </c>
      <c r="E205" s="417">
        <v>28524602.610000003</v>
      </c>
      <c r="F205" s="417">
        <f>+E205-D205</f>
        <v>0</v>
      </c>
      <c r="G205" s="420" t="s">
        <v>103</v>
      </c>
      <c r="H205" s="424">
        <v>821</v>
      </c>
      <c r="I205" s="422"/>
      <c r="J205" s="605">
        <v>28524602.61</v>
      </c>
      <c r="K205" s="417">
        <v>28524602.610000003</v>
      </c>
    </row>
    <row r="206" spans="1:11" ht="21" customHeight="1">
      <c r="A206" s="420" t="s">
        <v>104</v>
      </c>
      <c r="B206" s="424">
        <v>900</v>
      </c>
      <c r="C206" s="422"/>
      <c r="D206" s="605">
        <v>860878.34</v>
      </c>
      <c r="G206" s="420" t="s">
        <v>104</v>
      </c>
      <c r="H206" s="424">
        <v>900</v>
      </c>
      <c r="I206" s="422"/>
      <c r="J206" s="605">
        <v>860878.34</v>
      </c>
      <c r="K206" s="414"/>
    </row>
    <row r="207" spans="1:11" ht="21" customHeight="1" hidden="1">
      <c r="A207" s="420" t="s">
        <v>105</v>
      </c>
      <c r="B207" s="424"/>
      <c r="C207" s="421"/>
      <c r="D207" s="423"/>
      <c r="G207" s="420" t="s">
        <v>105</v>
      </c>
      <c r="H207" s="424"/>
      <c r="I207" s="421"/>
      <c r="J207" s="423"/>
      <c r="K207" s="414"/>
    </row>
    <row r="208" spans="1:11" ht="21" customHeight="1" hidden="1">
      <c r="A208" s="420" t="s">
        <v>106</v>
      </c>
      <c r="B208" s="424">
        <v>600</v>
      </c>
      <c r="C208" s="421"/>
      <c r="D208" s="423">
        <v>0</v>
      </c>
      <c r="G208" s="420" t="s">
        <v>106</v>
      </c>
      <c r="H208" s="424">
        <v>600</v>
      </c>
      <c r="I208" s="421"/>
      <c r="J208" s="423">
        <v>0</v>
      </c>
      <c r="K208" s="414"/>
    </row>
    <row r="209" spans="1:11" ht="21" customHeight="1">
      <c r="A209" s="420" t="s">
        <v>107</v>
      </c>
      <c r="B209" s="424">
        <v>700</v>
      </c>
      <c r="C209" s="421"/>
      <c r="D209" s="605">
        <f>15374733.58</f>
        <v>15374733.58</v>
      </c>
      <c r="G209" s="420" t="s">
        <v>107</v>
      </c>
      <c r="H209" s="424">
        <v>700</v>
      </c>
      <c r="I209" s="421"/>
      <c r="J209" s="605">
        <f>15374734.55</f>
        <v>15374734.55</v>
      </c>
      <c r="K209" s="414"/>
    </row>
    <row r="210" spans="1:11" ht="21" customHeight="1">
      <c r="A210" s="420" t="s">
        <v>108</v>
      </c>
      <c r="B210" s="424" t="s">
        <v>900</v>
      </c>
      <c r="C210" s="421"/>
      <c r="D210" s="605">
        <v>15305505.59</v>
      </c>
      <c r="G210" s="420" t="s">
        <v>108</v>
      </c>
      <c r="H210" s="424" t="s">
        <v>900</v>
      </c>
      <c r="I210" s="421"/>
      <c r="J210" s="605">
        <v>15305505.59</v>
      </c>
      <c r="K210" s="414"/>
    </row>
    <row r="211" spans="1:11" ht="21" customHeight="1" hidden="1">
      <c r="A211" s="420" t="s">
        <v>109</v>
      </c>
      <c r="B211" s="424" t="s">
        <v>671</v>
      </c>
      <c r="C211" s="421"/>
      <c r="D211" s="423"/>
      <c r="G211" s="420" t="s">
        <v>109</v>
      </c>
      <c r="H211" s="424" t="s">
        <v>671</v>
      </c>
      <c r="I211" s="421"/>
      <c r="J211" s="423"/>
      <c r="K211" s="414"/>
    </row>
    <row r="212" spans="1:11" ht="21" customHeight="1">
      <c r="A212" s="420" t="s">
        <v>110</v>
      </c>
      <c r="B212" s="424" t="s">
        <v>89</v>
      </c>
      <c r="C212" s="421"/>
      <c r="D212" s="605">
        <v>734856.66</v>
      </c>
      <c r="G212" s="420" t="s">
        <v>110</v>
      </c>
      <c r="H212" s="424" t="s">
        <v>89</v>
      </c>
      <c r="I212" s="421"/>
      <c r="J212" s="605">
        <v>734856.66</v>
      </c>
      <c r="K212" s="414"/>
    </row>
    <row r="213" spans="1:11" ht="21" customHeight="1" hidden="1">
      <c r="A213" s="420" t="s">
        <v>111</v>
      </c>
      <c r="B213" s="424"/>
      <c r="C213" s="421"/>
      <c r="D213" s="423"/>
      <c r="G213" s="420" t="s">
        <v>111</v>
      </c>
      <c r="H213" s="424"/>
      <c r="I213" s="421"/>
      <c r="J213" s="423"/>
      <c r="K213" s="414"/>
    </row>
    <row r="214" spans="1:11" ht="21" customHeight="1">
      <c r="A214" s="427"/>
      <c r="B214" s="427"/>
      <c r="C214" s="584">
        <f>SUM(C176:C213)</f>
        <v>60800577.75000001</v>
      </c>
      <c r="D214" s="584">
        <f>SUM(D176:D213)</f>
        <v>60800577.75</v>
      </c>
      <c r="E214" s="416">
        <f>+D214-C214</f>
        <v>0</v>
      </c>
      <c r="G214" s="427"/>
      <c r="H214" s="427"/>
      <c r="I214" s="584">
        <f>SUM(I176:I213)</f>
        <v>60800577.75000001</v>
      </c>
      <c r="J214" s="584">
        <f>SUM(J176:J213)</f>
        <v>60800577.75</v>
      </c>
      <c r="K214" s="416">
        <f>+J214-I214</f>
        <v>0</v>
      </c>
    </row>
  </sheetData>
  <sheetProtection/>
  <mergeCells count="30">
    <mergeCell ref="G172:J172"/>
    <mergeCell ref="G173:J173"/>
    <mergeCell ref="G174:J174"/>
    <mergeCell ref="G88:J88"/>
    <mergeCell ref="G89:J89"/>
    <mergeCell ref="G90:J90"/>
    <mergeCell ref="G129:J129"/>
    <mergeCell ref="G130:J130"/>
    <mergeCell ref="G131:J131"/>
    <mergeCell ref="G1:J1"/>
    <mergeCell ref="G2:J2"/>
    <mergeCell ref="G3:J3"/>
    <mergeCell ref="G43:J43"/>
    <mergeCell ref="G44:J44"/>
    <mergeCell ref="G45:J45"/>
    <mergeCell ref="A129:D129"/>
    <mergeCell ref="A130:D130"/>
    <mergeCell ref="A131:D131"/>
    <mergeCell ref="A172:D172"/>
    <mergeCell ref="A173:D173"/>
    <mergeCell ref="A174:D174"/>
    <mergeCell ref="A88:D88"/>
    <mergeCell ref="A89:D89"/>
    <mergeCell ref="A90:D90"/>
    <mergeCell ref="A1:D1"/>
    <mergeCell ref="A2:D2"/>
    <mergeCell ref="A3:D3"/>
    <mergeCell ref="A43:D43"/>
    <mergeCell ref="A44:D44"/>
    <mergeCell ref="A45:D45"/>
  </mergeCells>
  <printOptions horizontalCentered="1"/>
  <pageMargins left="0.4724409448818898" right="0.1968503937007874" top="0.15748031496062992" bottom="0.1968503937007874" header="0.15748031496062992" footer="0.15748031496062992"/>
  <pageSetup horizontalDpi="600" verticalDpi="600" orientation="portrait" paperSize="9" scale="92" r:id="rId1"/>
  <rowBreaks count="1" manualBreakCount="1">
    <brk id="4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zoomScalePageLayoutView="0" workbookViewId="0" topLeftCell="A43">
      <selection activeCell="F37" sqref="F37"/>
    </sheetView>
  </sheetViews>
  <sheetFormatPr defaultColWidth="9.140625" defaultRowHeight="15"/>
  <cols>
    <col min="1" max="1" width="42.140625" style="0" customWidth="1"/>
    <col min="3" max="4" width="12.00390625" style="0" bestFit="1" customWidth="1"/>
    <col min="5" max="5" width="10.421875" style="0" bestFit="1" customWidth="1"/>
  </cols>
  <sheetData>
    <row r="1" spans="1:4" ht="23.25">
      <c r="A1" s="751" t="s">
        <v>30</v>
      </c>
      <c r="B1" s="751"/>
      <c r="C1" s="751"/>
      <c r="D1" s="751"/>
    </row>
    <row r="2" spans="1:4" ht="23.25">
      <c r="A2" s="751" t="s">
        <v>141</v>
      </c>
      <c r="B2" s="751"/>
      <c r="C2" s="751"/>
      <c r="D2" s="751"/>
    </row>
    <row r="3" spans="1:4" ht="23.25">
      <c r="A3" s="751" t="s">
        <v>907</v>
      </c>
      <c r="B3" s="751"/>
      <c r="C3" s="751"/>
      <c r="D3" s="751"/>
    </row>
    <row r="4" spans="1:4" ht="23.25">
      <c r="A4" s="418" t="s">
        <v>32</v>
      </c>
      <c r="B4" s="418" t="s">
        <v>83</v>
      </c>
      <c r="C4" s="419" t="s">
        <v>84</v>
      </c>
      <c r="D4" s="419" t="s">
        <v>85</v>
      </c>
    </row>
    <row r="5" spans="1:4" ht="23.25">
      <c r="A5" s="420" t="s">
        <v>86</v>
      </c>
      <c r="B5" s="421" t="s">
        <v>87</v>
      </c>
      <c r="C5" s="422"/>
      <c r="D5" s="423"/>
    </row>
    <row r="6" spans="1:4" ht="23.25">
      <c r="A6" s="420" t="s">
        <v>893</v>
      </c>
      <c r="B6" s="421" t="s">
        <v>89</v>
      </c>
      <c r="C6" s="603">
        <v>512903.87</v>
      </c>
      <c r="D6" s="423"/>
    </row>
    <row r="7" spans="1:4" ht="23.25">
      <c r="A7" s="420" t="s">
        <v>895</v>
      </c>
      <c r="B7" s="421" t="s">
        <v>89</v>
      </c>
      <c r="C7" s="603">
        <v>4691000</v>
      </c>
      <c r="D7" s="423"/>
    </row>
    <row r="8" spans="1:4" ht="23.25">
      <c r="A8" s="420" t="s">
        <v>894</v>
      </c>
      <c r="B8" s="421" t="s">
        <v>89</v>
      </c>
      <c r="C8" s="604">
        <v>2849513.59</v>
      </c>
      <c r="D8" s="423"/>
    </row>
    <row r="9" spans="1:4" ht="23.25">
      <c r="A9" s="420" t="s">
        <v>896</v>
      </c>
      <c r="B9" s="421" t="s">
        <v>89</v>
      </c>
      <c r="C9" s="603">
        <v>1460904.17</v>
      </c>
      <c r="D9" s="423"/>
    </row>
    <row r="10" spans="1:4" ht="23.25">
      <c r="A10" s="420" t="s">
        <v>897</v>
      </c>
      <c r="B10" s="421" t="s">
        <v>89</v>
      </c>
      <c r="C10" s="603">
        <f>22759184.01+25158</f>
        <v>22784342.01</v>
      </c>
      <c r="D10" s="423"/>
    </row>
    <row r="11" spans="1:4" ht="23.25">
      <c r="A11" s="420" t="s">
        <v>898</v>
      </c>
      <c r="B11" s="421" t="s">
        <v>89</v>
      </c>
      <c r="C11" s="603">
        <v>634406.66</v>
      </c>
      <c r="D11" s="423"/>
    </row>
    <row r="12" spans="1:4" ht="23.25">
      <c r="A12" s="420" t="s">
        <v>899</v>
      </c>
      <c r="B12" s="421" t="s">
        <v>89</v>
      </c>
      <c r="C12" s="603">
        <v>11989080.54</v>
      </c>
      <c r="D12" s="423"/>
    </row>
    <row r="13" spans="1:4" ht="23.25">
      <c r="A13" s="420" t="s">
        <v>96</v>
      </c>
      <c r="B13" s="424">
        <v>701</v>
      </c>
      <c r="C13" s="603">
        <v>1681293.82</v>
      </c>
      <c r="D13" s="423"/>
    </row>
    <row r="14" spans="1:4" ht="23.25">
      <c r="A14" s="420" t="s">
        <v>875</v>
      </c>
      <c r="B14" s="424" t="s">
        <v>98</v>
      </c>
      <c r="C14" s="603">
        <v>19926.25</v>
      </c>
      <c r="D14" s="423"/>
    </row>
    <row r="15" spans="1:4" ht="23.25">
      <c r="A15" s="420" t="s">
        <v>99</v>
      </c>
      <c r="B15" s="597">
        <v>707</v>
      </c>
      <c r="C15" s="603">
        <v>100450</v>
      </c>
      <c r="D15" s="423"/>
    </row>
    <row r="16" spans="1:4" ht="23.25">
      <c r="A16" s="420" t="s">
        <v>672</v>
      </c>
      <c r="B16" s="425" t="s">
        <v>673</v>
      </c>
      <c r="C16" s="603">
        <v>796190</v>
      </c>
      <c r="D16" s="423"/>
    </row>
    <row r="17" spans="1:4" ht="23.25">
      <c r="A17" s="420" t="s">
        <v>100</v>
      </c>
      <c r="B17" s="421" t="s">
        <v>101</v>
      </c>
      <c r="C17" s="604">
        <v>97040</v>
      </c>
      <c r="D17" s="423"/>
    </row>
    <row r="18" spans="1:4" ht="23.25">
      <c r="A18" s="420" t="s">
        <v>73</v>
      </c>
      <c r="B18" s="424">
        <v>100</v>
      </c>
      <c r="C18" s="604">
        <v>2465343.7</v>
      </c>
      <c r="D18" s="423"/>
    </row>
    <row r="19" spans="1:4" ht="23.25">
      <c r="A19" s="420" t="s">
        <v>46</v>
      </c>
      <c r="B19" s="424">
        <v>120</v>
      </c>
      <c r="C19" s="603">
        <v>81760</v>
      </c>
      <c r="D19" s="423"/>
    </row>
    <row r="20" spans="1:4" ht="23.25">
      <c r="A20" s="420" t="s">
        <v>74</v>
      </c>
      <c r="B20" s="424">
        <v>130</v>
      </c>
      <c r="C20" s="603">
        <v>1116990</v>
      </c>
      <c r="D20" s="423"/>
    </row>
    <row r="21" spans="1:4" ht="23.25">
      <c r="A21" s="420" t="s">
        <v>75</v>
      </c>
      <c r="B21" s="424">
        <v>200</v>
      </c>
      <c r="C21" s="603">
        <v>68200</v>
      </c>
      <c r="D21" s="423"/>
    </row>
    <row r="22" spans="1:4" ht="23.25">
      <c r="A22" s="420" t="s">
        <v>76</v>
      </c>
      <c r="B22" s="424">
        <v>250</v>
      </c>
      <c r="C22" s="603">
        <v>991152.9</v>
      </c>
      <c r="D22" s="423"/>
    </row>
    <row r="23" spans="1:4" ht="23.25">
      <c r="A23" s="420" t="s">
        <v>77</v>
      </c>
      <c r="B23" s="424">
        <v>270</v>
      </c>
      <c r="C23" s="603">
        <v>489561.32</v>
      </c>
      <c r="D23" s="423"/>
    </row>
    <row r="24" spans="1:4" ht="23.25">
      <c r="A24" s="420" t="s">
        <v>51</v>
      </c>
      <c r="B24" s="424">
        <v>300</v>
      </c>
      <c r="C24" s="603">
        <v>83394.92</v>
      </c>
      <c r="D24" s="423"/>
    </row>
    <row r="25" spans="1:4" ht="23.25">
      <c r="A25" s="420" t="s">
        <v>54</v>
      </c>
      <c r="B25" s="424">
        <v>450</v>
      </c>
      <c r="C25" s="603">
        <v>63000</v>
      </c>
      <c r="D25" s="423"/>
    </row>
    <row r="26" spans="1:4" ht="23.25">
      <c r="A26" s="420" t="s">
        <v>55</v>
      </c>
      <c r="B26" s="424">
        <v>500</v>
      </c>
      <c r="C26" s="422"/>
      <c r="D26" s="423"/>
    </row>
    <row r="27" spans="1:4" ht="23.25">
      <c r="A27" s="420" t="s">
        <v>2</v>
      </c>
      <c r="B27" s="426" t="s">
        <v>102</v>
      </c>
      <c r="C27" s="603">
        <v>913017</v>
      </c>
      <c r="D27" s="423"/>
    </row>
    <row r="28" spans="1:4" ht="23.25">
      <c r="A28" s="420" t="s">
        <v>52</v>
      </c>
      <c r="B28" s="424">
        <v>400</v>
      </c>
      <c r="C28" s="603">
        <v>1730840</v>
      </c>
      <c r="D28" s="423"/>
    </row>
    <row r="29" spans="1:4" ht="23.25">
      <c r="A29" s="420" t="s">
        <v>877</v>
      </c>
      <c r="B29" s="424" t="s">
        <v>879</v>
      </c>
      <c r="C29" s="603">
        <v>629000</v>
      </c>
      <c r="D29" s="423"/>
    </row>
    <row r="30" spans="1:4" ht="23.25">
      <c r="A30" s="420" t="s">
        <v>878</v>
      </c>
      <c r="B30" s="424" t="s">
        <v>879</v>
      </c>
      <c r="C30" s="603">
        <v>4095900</v>
      </c>
      <c r="D30" s="423"/>
    </row>
    <row r="31" spans="1:4" ht="23.25">
      <c r="A31" s="420" t="s">
        <v>902</v>
      </c>
      <c r="B31" s="424"/>
      <c r="C31" s="603">
        <v>15525</v>
      </c>
      <c r="D31" s="423"/>
    </row>
    <row r="32" spans="1:4" ht="23.25">
      <c r="A32" s="420" t="s">
        <v>903</v>
      </c>
      <c r="B32" s="424"/>
      <c r="C32" s="603">
        <v>465000</v>
      </c>
      <c r="D32" s="423"/>
    </row>
    <row r="33" spans="1:4" ht="23.25">
      <c r="A33" s="420" t="s">
        <v>913</v>
      </c>
      <c r="B33" s="424"/>
      <c r="C33" s="603"/>
      <c r="D33" s="603"/>
    </row>
    <row r="34" spans="1:4" ht="23.25">
      <c r="A34" s="420" t="s">
        <v>103</v>
      </c>
      <c r="B34" s="424">
        <v>821</v>
      </c>
      <c r="C34" s="422"/>
      <c r="D34" s="605">
        <f>28524602.61+25158.97</f>
        <v>28549761.58</v>
      </c>
    </row>
    <row r="35" spans="1:4" ht="23.25">
      <c r="A35" s="420" t="s">
        <v>104</v>
      </c>
      <c r="B35" s="424">
        <v>900</v>
      </c>
      <c r="C35" s="422"/>
      <c r="D35" s="605">
        <v>860878.34</v>
      </c>
    </row>
    <row r="36" spans="1:4" ht="23.25">
      <c r="A36" s="420" t="s">
        <v>105</v>
      </c>
      <c r="B36" s="424"/>
      <c r="C36" s="421"/>
      <c r="D36" s="423"/>
    </row>
    <row r="37" spans="1:4" ht="23.25">
      <c r="A37" s="420" t="s">
        <v>106</v>
      </c>
      <c r="B37" s="424">
        <v>600</v>
      </c>
      <c r="C37" s="421"/>
      <c r="D37" s="423">
        <v>0</v>
      </c>
    </row>
    <row r="38" spans="1:4" ht="23.25">
      <c r="A38" s="420" t="s">
        <v>107</v>
      </c>
      <c r="B38" s="424">
        <v>700</v>
      </c>
      <c r="C38" s="421"/>
      <c r="D38" s="605">
        <f>15374733.58</f>
        <v>15374733.58</v>
      </c>
    </row>
    <row r="39" spans="1:4" ht="23.25">
      <c r="A39" s="420" t="s">
        <v>108</v>
      </c>
      <c r="B39" s="424" t="s">
        <v>900</v>
      </c>
      <c r="C39" s="421"/>
      <c r="D39" s="605">
        <v>15305505.59</v>
      </c>
    </row>
    <row r="40" spans="1:4" ht="23.25">
      <c r="A40" s="420" t="s">
        <v>109</v>
      </c>
      <c r="B40" s="424" t="s">
        <v>671</v>
      </c>
      <c r="C40" s="421"/>
      <c r="D40" s="423"/>
    </row>
    <row r="41" spans="1:4" ht="23.25">
      <c r="A41" s="420" t="s">
        <v>110</v>
      </c>
      <c r="B41" s="424" t="s">
        <v>89</v>
      </c>
      <c r="C41" s="421"/>
      <c r="D41" s="605">
        <v>734856.66</v>
      </c>
    </row>
    <row r="42" spans="1:4" ht="23.25">
      <c r="A42" s="420" t="s">
        <v>111</v>
      </c>
      <c r="B42" s="424"/>
      <c r="C42" s="421"/>
      <c r="D42" s="423"/>
    </row>
    <row r="43" spans="1:5" ht="23.25">
      <c r="A43" s="427"/>
      <c r="B43" s="427"/>
      <c r="C43" s="584">
        <f>SUM(C5:C42)</f>
        <v>60825735.75000001</v>
      </c>
      <c r="D43" s="584">
        <f>SUM(D5:D42)</f>
        <v>60825735.75</v>
      </c>
      <c r="E43" s="610">
        <f>+D43-C43</f>
        <v>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.421875" style="628" bestFit="1" customWidth="1"/>
    <col min="2" max="2" width="34.57421875" style="628" customWidth="1"/>
    <col min="3" max="3" width="17.140625" style="628" customWidth="1"/>
    <col min="4" max="4" width="5.00390625" style="628" customWidth="1"/>
    <col min="5" max="5" width="13.57421875" style="628" customWidth="1"/>
    <col min="6" max="16384" width="9.00390625" style="628" customWidth="1"/>
  </cols>
  <sheetData>
    <row r="1" spans="1:9" ht="31.5">
      <c r="A1" s="754" t="s">
        <v>30</v>
      </c>
      <c r="B1" s="754"/>
      <c r="C1" s="754"/>
      <c r="D1" s="754"/>
      <c r="E1" s="754"/>
      <c r="F1" s="645"/>
      <c r="G1" s="645"/>
      <c r="H1" s="645"/>
      <c r="I1" s="645"/>
    </row>
    <row r="2" spans="1:9" ht="31.5">
      <c r="A2" s="754" t="s">
        <v>140</v>
      </c>
      <c r="B2" s="754"/>
      <c r="C2" s="754"/>
      <c r="D2" s="754"/>
      <c r="E2" s="754"/>
      <c r="F2" s="645"/>
      <c r="G2" s="645"/>
      <c r="H2" s="645"/>
      <c r="I2" s="645"/>
    </row>
    <row r="3" spans="1:9" ht="31.5">
      <c r="A3" s="755" t="s">
        <v>952</v>
      </c>
      <c r="B3" s="755"/>
      <c r="C3" s="755"/>
      <c r="D3" s="755"/>
      <c r="E3" s="755"/>
      <c r="F3" s="645"/>
      <c r="G3" s="645"/>
      <c r="H3" s="645"/>
      <c r="I3" s="645"/>
    </row>
    <row r="4" spans="1:9" ht="24.75">
      <c r="A4" s="631" t="s">
        <v>681</v>
      </c>
      <c r="B4" s="631" t="s">
        <v>953</v>
      </c>
      <c r="C4" s="753" t="s">
        <v>682</v>
      </c>
      <c r="D4" s="753"/>
      <c r="E4" s="631" t="s">
        <v>153</v>
      </c>
      <c r="F4" s="629"/>
      <c r="G4" s="629"/>
      <c r="H4" s="629"/>
      <c r="I4" s="629"/>
    </row>
    <row r="5" spans="1:5" ht="24.75">
      <c r="A5" s="640">
        <v>1</v>
      </c>
      <c r="B5" s="633" t="s">
        <v>954</v>
      </c>
      <c r="C5" s="638">
        <v>809006</v>
      </c>
      <c r="D5" s="640" t="s">
        <v>27</v>
      </c>
      <c r="E5" s="632"/>
    </row>
    <row r="6" spans="1:5" ht="24.75">
      <c r="A6" s="641">
        <v>2</v>
      </c>
      <c r="B6" s="634" t="s">
        <v>960</v>
      </c>
      <c r="C6" s="639">
        <v>67275</v>
      </c>
      <c r="D6" s="641">
        <v>13</v>
      </c>
      <c r="E6" s="635"/>
    </row>
    <row r="7" spans="1:5" ht="24.75">
      <c r="A7" s="634"/>
      <c r="B7" s="634"/>
      <c r="C7" s="634"/>
      <c r="D7" s="634"/>
      <c r="E7" s="635"/>
    </row>
    <row r="8" spans="1:5" ht="24.75">
      <c r="A8" s="634"/>
      <c r="B8" s="634"/>
      <c r="C8" s="634"/>
      <c r="D8" s="634"/>
      <c r="E8" s="635"/>
    </row>
    <row r="9" spans="1:5" ht="24.75">
      <c r="A9" s="634"/>
      <c r="B9" s="634"/>
      <c r="C9" s="634"/>
      <c r="D9" s="634"/>
      <c r="E9" s="635"/>
    </row>
    <row r="10" spans="1:5" ht="24.75">
      <c r="A10" s="634"/>
      <c r="B10" s="634"/>
      <c r="C10" s="634"/>
      <c r="D10" s="634"/>
      <c r="E10" s="635"/>
    </row>
    <row r="11" spans="1:5" ht="24.75">
      <c r="A11" s="634"/>
      <c r="B11" s="634"/>
      <c r="C11" s="634"/>
      <c r="D11" s="634"/>
      <c r="E11" s="635"/>
    </row>
    <row r="12" spans="1:5" ht="24.75">
      <c r="A12" s="634"/>
      <c r="B12" s="634"/>
      <c r="C12" s="634"/>
      <c r="D12" s="634"/>
      <c r="E12" s="635"/>
    </row>
    <row r="13" spans="1:5" ht="24.75">
      <c r="A13" s="634"/>
      <c r="B13" s="634"/>
      <c r="C13" s="634"/>
      <c r="D13" s="634"/>
      <c r="E13" s="635"/>
    </row>
    <row r="14" spans="1:5" ht="24.75">
      <c r="A14" s="634"/>
      <c r="B14" s="634"/>
      <c r="C14" s="634"/>
      <c r="D14" s="634"/>
      <c r="E14" s="635"/>
    </row>
    <row r="15" spans="1:5" ht="24.75">
      <c r="A15" s="634"/>
      <c r="B15" s="634"/>
      <c r="C15" s="634"/>
      <c r="D15" s="634"/>
      <c r="E15" s="635"/>
    </row>
    <row r="16" spans="1:5" ht="24.75">
      <c r="A16" s="634"/>
      <c r="B16" s="634"/>
      <c r="C16" s="634"/>
      <c r="D16" s="634"/>
      <c r="E16" s="635"/>
    </row>
    <row r="17" spans="1:5" ht="24.75">
      <c r="A17" s="634"/>
      <c r="B17" s="634"/>
      <c r="C17" s="634"/>
      <c r="D17" s="634"/>
      <c r="E17" s="635"/>
    </row>
    <row r="18" spans="1:5" ht="24.75">
      <c r="A18" s="634"/>
      <c r="B18" s="634"/>
      <c r="C18" s="634"/>
      <c r="D18" s="634"/>
      <c r="E18" s="635"/>
    </row>
    <row r="19" spans="1:5" ht="24.75">
      <c r="A19" s="634"/>
      <c r="B19" s="634"/>
      <c r="C19" s="634"/>
      <c r="D19" s="634"/>
      <c r="E19" s="635"/>
    </row>
    <row r="20" spans="1:5" ht="24.75">
      <c r="A20" s="634"/>
      <c r="B20" s="634"/>
      <c r="C20" s="634"/>
      <c r="D20" s="634"/>
      <c r="E20" s="635"/>
    </row>
    <row r="21" spans="1:5" ht="24.75">
      <c r="A21" s="636"/>
      <c r="B21" s="643" t="s">
        <v>528</v>
      </c>
      <c r="C21" s="642">
        <v>876281</v>
      </c>
      <c r="D21" s="644">
        <v>13</v>
      </c>
      <c r="E21" s="637"/>
    </row>
    <row r="22" spans="1:5" ht="24.75">
      <c r="A22" s="629"/>
      <c r="B22" s="629"/>
      <c r="C22" s="629"/>
      <c r="D22" s="629"/>
      <c r="E22" s="629"/>
    </row>
    <row r="23" spans="1:5" ht="24.75">
      <c r="A23" s="629"/>
      <c r="B23" s="629"/>
      <c r="C23" s="629"/>
      <c r="D23" s="629"/>
      <c r="E23" s="629"/>
    </row>
    <row r="24" spans="1:5" ht="24.75">
      <c r="A24" s="629"/>
      <c r="B24" s="629"/>
      <c r="C24" s="629"/>
      <c r="D24" s="629"/>
      <c r="E24" s="629"/>
    </row>
    <row r="25" spans="1:5" ht="24.75">
      <c r="A25" s="629"/>
      <c r="B25" s="630" t="s">
        <v>703</v>
      </c>
      <c r="C25" s="630" t="s">
        <v>704</v>
      </c>
      <c r="D25" s="629"/>
      <c r="E25" s="629"/>
    </row>
    <row r="26" spans="1:5" ht="24.75">
      <c r="A26" s="629"/>
      <c r="B26" s="629" t="s">
        <v>26</v>
      </c>
      <c r="C26" s="629" t="s">
        <v>26</v>
      </c>
      <c r="D26" s="629"/>
      <c r="E26" s="629"/>
    </row>
    <row r="27" spans="1:5" ht="24.75">
      <c r="A27" s="629"/>
      <c r="B27" s="629" t="s">
        <v>955</v>
      </c>
      <c r="C27" s="629" t="s">
        <v>957</v>
      </c>
      <c r="D27" s="629"/>
      <c r="E27" s="629"/>
    </row>
    <row r="28" spans="1:5" ht="24.75">
      <c r="A28" s="629"/>
      <c r="B28" s="629" t="s">
        <v>956</v>
      </c>
      <c r="C28" s="629" t="s">
        <v>958</v>
      </c>
      <c r="D28" s="629"/>
      <c r="E28" s="629"/>
    </row>
    <row r="29" spans="1:5" ht="24.75">
      <c r="A29" s="629"/>
      <c r="B29" s="629"/>
      <c r="C29" s="629"/>
      <c r="D29" s="629"/>
      <c r="E29" s="629"/>
    </row>
  </sheetData>
  <sheetProtection/>
  <mergeCells count="4">
    <mergeCell ref="C4:D4"/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4"/>
  <sheetViews>
    <sheetView zoomScalePageLayoutView="0" workbookViewId="0" topLeftCell="A264">
      <selection activeCell="D265" sqref="D265:E265"/>
    </sheetView>
  </sheetViews>
  <sheetFormatPr defaultColWidth="9.140625" defaultRowHeight="15"/>
  <cols>
    <col min="1" max="1" width="3.421875" style="431" customWidth="1"/>
    <col min="2" max="2" width="34.57421875" style="431" customWidth="1"/>
    <col min="3" max="3" width="18.8515625" style="431" bestFit="1" customWidth="1"/>
    <col min="4" max="4" width="12.421875" style="431" customWidth="1"/>
    <col min="5" max="5" width="6.140625" style="431" customWidth="1"/>
    <col min="6" max="6" width="10.28125" style="431" customWidth="1"/>
    <col min="7" max="7" width="8.00390625" style="431" customWidth="1"/>
    <col min="8" max="8" width="18.8515625" style="431" bestFit="1" customWidth="1"/>
    <col min="9" max="9" width="5.57421875" style="431" customWidth="1"/>
    <col min="10" max="10" width="18.8515625" style="431" bestFit="1" customWidth="1"/>
    <col min="11" max="16384" width="9.00390625" style="431" customWidth="1"/>
  </cols>
  <sheetData>
    <row r="1" spans="1:10" ht="20.25" hidden="1">
      <c r="A1" s="756" t="s">
        <v>30</v>
      </c>
      <c r="B1" s="756"/>
      <c r="C1" s="756"/>
      <c r="D1" s="756"/>
      <c r="E1" s="756"/>
      <c r="F1" s="756"/>
      <c r="G1" s="756"/>
      <c r="H1" s="756"/>
      <c r="I1" s="756"/>
      <c r="J1" s="439"/>
    </row>
    <row r="2" spans="1:10" ht="20.25" hidden="1">
      <c r="A2" s="756" t="s">
        <v>712</v>
      </c>
      <c r="B2" s="756"/>
      <c r="C2" s="756"/>
      <c r="D2" s="756"/>
      <c r="E2" s="756"/>
      <c r="F2" s="756"/>
      <c r="G2" s="756"/>
      <c r="H2" s="756"/>
      <c r="I2" s="756"/>
      <c r="J2" s="439"/>
    </row>
    <row r="3" spans="1:10" ht="20.25" hidden="1">
      <c r="A3" s="756" t="s">
        <v>674</v>
      </c>
      <c r="B3" s="756"/>
      <c r="C3" s="756"/>
      <c r="D3" s="756"/>
      <c r="E3" s="756"/>
      <c r="F3" s="756"/>
      <c r="G3" s="756"/>
      <c r="H3" s="756"/>
      <c r="I3" s="756"/>
      <c r="J3" s="439"/>
    </row>
    <row r="4" spans="1:10" ht="20.25" hidden="1">
      <c r="A4" s="756" t="s">
        <v>731</v>
      </c>
      <c r="B4" s="756"/>
      <c r="C4" s="756"/>
      <c r="D4" s="756"/>
      <c r="E4" s="756"/>
      <c r="F4" s="756"/>
      <c r="G4" s="756"/>
      <c r="H4" s="756"/>
      <c r="I4" s="756"/>
      <c r="J4" s="439"/>
    </row>
    <row r="5" ht="20.25" hidden="1"/>
    <row r="6" ht="20.25" hidden="1"/>
    <row r="7" spans="1:10" ht="20.25" hidden="1">
      <c r="A7" s="775" t="s">
        <v>686</v>
      </c>
      <c r="B7" s="785"/>
      <c r="C7" s="588"/>
      <c r="D7" s="777" t="s">
        <v>675</v>
      </c>
      <c r="E7" s="778"/>
      <c r="F7" s="777" t="s">
        <v>676</v>
      </c>
      <c r="G7" s="778"/>
      <c r="H7" s="777" t="s">
        <v>687</v>
      </c>
      <c r="I7" s="778"/>
      <c r="J7" s="438"/>
    </row>
    <row r="8" spans="1:9" ht="20.25" hidden="1">
      <c r="A8" s="431" t="s">
        <v>688</v>
      </c>
      <c r="D8" s="781">
        <v>758.6</v>
      </c>
      <c r="E8" s="782"/>
      <c r="F8" s="783" t="s">
        <v>27</v>
      </c>
      <c r="G8" s="784"/>
      <c r="H8" s="781">
        <v>21437</v>
      </c>
      <c r="I8" s="782"/>
    </row>
    <row r="9" spans="1:9" ht="20.25" hidden="1">
      <c r="A9" s="431" t="s">
        <v>714</v>
      </c>
      <c r="D9" s="765">
        <v>4615.9</v>
      </c>
      <c r="E9" s="766"/>
      <c r="F9" s="765">
        <v>0</v>
      </c>
      <c r="G9" s="766"/>
      <c r="H9" s="765">
        <f>+D9-F9</f>
        <v>4615.9</v>
      </c>
      <c r="I9" s="786"/>
    </row>
    <row r="10" spans="1:9" ht="20.25" hidden="1">
      <c r="A10" s="431" t="s">
        <v>715</v>
      </c>
      <c r="D10" s="765">
        <v>19446</v>
      </c>
      <c r="E10" s="766"/>
      <c r="F10" s="765">
        <v>0</v>
      </c>
      <c r="G10" s="766"/>
      <c r="H10" s="765">
        <f>+D10-F10</f>
        <v>19446</v>
      </c>
      <c r="I10" s="766"/>
    </row>
    <row r="11" spans="1:9" ht="20.25" hidden="1">
      <c r="A11" s="431" t="s">
        <v>690</v>
      </c>
      <c r="D11" s="769">
        <v>0</v>
      </c>
      <c r="E11" s="770"/>
      <c r="F11" s="765">
        <v>55765</v>
      </c>
      <c r="G11" s="766"/>
      <c r="H11" s="765">
        <v>794362</v>
      </c>
      <c r="I11" s="766"/>
    </row>
    <row r="12" spans="1:9" ht="20.25" hidden="1">
      <c r="A12" s="431" t="s">
        <v>716</v>
      </c>
      <c r="D12" s="769">
        <v>0</v>
      </c>
      <c r="E12" s="770"/>
      <c r="F12" s="765">
        <v>3630</v>
      </c>
      <c r="G12" s="766"/>
      <c r="H12" s="765">
        <v>0</v>
      </c>
      <c r="I12" s="766"/>
    </row>
    <row r="13" spans="1:9" ht="20.25" hidden="1">
      <c r="A13" s="431" t="s">
        <v>717</v>
      </c>
      <c r="D13" s="769">
        <v>0</v>
      </c>
      <c r="E13" s="770"/>
      <c r="F13" s="765">
        <v>46000</v>
      </c>
      <c r="G13" s="766"/>
      <c r="H13" s="765">
        <v>0</v>
      </c>
      <c r="I13" s="766"/>
    </row>
    <row r="14" spans="1:9" ht="20.25" hidden="1">
      <c r="A14" s="431" t="s">
        <v>718</v>
      </c>
      <c r="D14" s="779">
        <v>0</v>
      </c>
      <c r="E14" s="780"/>
      <c r="F14" s="757">
        <v>285200</v>
      </c>
      <c r="G14" s="758"/>
      <c r="H14" s="765">
        <v>0</v>
      </c>
      <c r="I14" s="766"/>
    </row>
    <row r="15" spans="2:9" ht="21" hidden="1" thickBot="1">
      <c r="B15" s="439" t="s">
        <v>34</v>
      </c>
      <c r="C15" s="439"/>
      <c r="D15" s="763">
        <f>SUM(D8:E14)</f>
        <v>24820.5</v>
      </c>
      <c r="E15" s="764"/>
      <c r="F15" s="763">
        <f>SUM(F8:G14)</f>
        <v>390595</v>
      </c>
      <c r="G15" s="764"/>
      <c r="H15" s="763">
        <f>SUM(H8:I14)</f>
        <v>839860.9</v>
      </c>
      <c r="I15" s="764"/>
    </row>
    <row r="16" spans="2:3" ht="21" hidden="1" thickTop="1">
      <c r="B16" s="442" t="s">
        <v>691</v>
      </c>
      <c r="C16" s="442"/>
    </row>
    <row r="17" spans="2:9" ht="20.25" hidden="1">
      <c r="B17" s="442" t="s">
        <v>692</v>
      </c>
      <c r="C17" s="442"/>
      <c r="H17" s="787" t="s">
        <v>693</v>
      </c>
      <c r="I17" s="787"/>
    </row>
    <row r="18" spans="2:9" ht="20.25" hidden="1">
      <c r="B18" s="788" t="s">
        <v>77</v>
      </c>
      <c r="C18" s="788"/>
      <c r="D18" s="788"/>
      <c r="E18" s="788"/>
      <c r="H18" s="789"/>
      <c r="I18" s="789"/>
    </row>
    <row r="19" spans="2:9" ht="20.25" hidden="1">
      <c r="B19" s="790" t="s">
        <v>694</v>
      </c>
      <c r="C19" s="790"/>
      <c r="D19" s="790"/>
      <c r="E19" s="790"/>
      <c r="H19" s="791">
        <v>0</v>
      </c>
      <c r="I19" s="791"/>
    </row>
    <row r="20" spans="2:9" ht="20.25" hidden="1">
      <c r="B20" s="793" t="s">
        <v>76</v>
      </c>
      <c r="C20" s="793"/>
      <c r="D20" s="793"/>
      <c r="E20" s="793"/>
      <c r="H20" s="791"/>
      <c r="I20" s="791"/>
    </row>
    <row r="21" spans="2:9" ht="20.25" hidden="1">
      <c r="B21" s="790"/>
      <c r="C21" s="790"/>
      <c r="D21" s="790"/>
      <c r="E21" s="790"/>
      <c r="H21" s="791"/>
      <c r="I21" s="791"/>
    </row>
    <row r="22" spans="2:9" ht="20.25" hidden="1">
      <c r="B22" s="792" t="s">
        <v>55</v>
      </c>
      <c r="C22" s="792"/>
      <c r="D22" s="790"/>
      <c r="E22" s="790"/>
      <c r="H22" s="791">
        <v>0</v>
      </c>
      <c r="I22" s="791"/>
    </row>
    <row r="23" spans="2:9" ht="20.25" hidden="1">
      <c r="B23" s="797" t="s">
        <v>867</v>
      </c>
      <c r="C23" s="797"/>
      <c r="D23" s="797"/>
      <c r="E23" s="797"/>
      <c r="H23" s="791">
        <v>38000</v>
      </c>
      <c r="I23" s="791"/>
    </row>
    <row r="24" spans="2:9" ht="20.25" hidden="1">
      <c r="B24" s="443" t="s">
        <v>868</v>
      </c>
      <c r="C24" s="443"/>
      <c r="D24" s="443"/>
      <c r="E24" s="443"/>
      <c r="H24" s="791"/>
      <c r="I24" s="791"/>
    </row>
    <row r="25" spans="2:9" ht="20.25" hidden="1">
      <c r="B25" s="794"/>
      <c r="C25" s="794"/>
      <c r="D25" s="794"/>
      <c r="E25" s="794"/>
      <c r="H25" s="791"/>
      <c r="I25" s="791"/>
    </row>
    <row r="26" spans="2:9" ht="20.25" hidden="1">
      <c r="B26" s="795"/>
      <c r="C26" s="795"/>
      <c r="D26" s="796"/>
      <c r="E26" s="796"/>
      <c r="F26" s="796"/>
      <c r="H26" s="791"/>
      <c r="I26" s="791"/>
    </row>
    <row r="27" spans="2:9" ht="20.25" hidden="1">
      <c r="B27" s="790"/>
      <c r="C27" s="790"/>
      <c r="D27" s="790"/>
      <c r="E27" s="790"/>
      <c r="F27" s="790"/>
      <c r="H27" s="791"/>
      <c r="I27" s="791"/>
    </row>
    <row r="28" spans="2:9" ht="20.25" hidden="1">
      <c r="B28" s="790"/>
      <c r="C28" s="790"/>
      <c r="D28" s="790"/>
      <c r="E28" s="790"/>
      <c r="F28" s="790"/>
      <c r="H28" s="791">
        <v>0</v>
      </c>
      <c r="I28" s="791"/>
    </row>
    <row r="29" spans="2:9" ht="20.25" hidden="1">
      <c r="B29" s="790"/>
      <c r="C29" s="790"/>
      <c r="D29" s="790"/>
      <c r="E29" s="790"/>
      <c r="F29" s="790"/>
      <c r="H29" s="791">
        <v>0</v>
      </c>
      <c r="I29" s="791"/>
    </row>
    <row r="30" spans="2:9" ht="20.25" hidden="1">
      <c r="B30" s="790"/>
      <c r="C30" s="790"/>
      <c r="D30" s="790"/>
      <c r="E30" s="790"/>
      <c r="F30" s="790"/>
      <c r="H30" s="791">
        <v>0</v>
      </c>
      <c r="I30" s="791"/>
    </row>
    <row r="31" spans="2:9" ht="20.25" hidden="1">
      <c r="B31" s="790"/>
      <c r="C31" s="790"/>
      <c r="D31" s="790"/>
      <c r="E31" s="790"/>
      <c r="F31" s="790"/>
      <c r="H31" s="791">
        <v>0</v>
      </c>
      <c r="I31" s="791"/>
    </row>
    <row r="32" spans="2:9" ht="20.25" hidden="1">
      <c r="B32" s="790"/>
      <c r="C32" s="790"/>
      <c r="D32" s="790"/>
      <c r="E32" s="790"/>
      <c r="F32" s="790"/>
      <c r="H32" s="791">
        <v>0</v>
      </c>
      <c r="I32" s="791"/>
    </row>
    <row r="33" spans="2:9" ht="20.25" hidden="1">
      <c r="B33" s="790"/>
      <c r="C33" s="790"/>
      <c r="D33" s="790"/>
      <c r="E33" s="790"/>
      <c r="F33" s="790"/>
      <c r="H33" s="798"/>
      <c r="I33" s="798"/>
    </row>
    <row r="34" spans="2:9" ht="21" hidden="1" thickBot="1">
      <c r="B34" s="449"/>
      <c r="C34" s="449"/>
      <c r="D34" s="449"/>
      <c r="E34" s="449"/>
      <c r="F34" s="439" t="s">
        <v>528</v>
      </c>
      <c r="H34" s="799">
        <f>SUM(H19:H33)</f>
        <v>38000</v>
      </c>
      <c r="I34" s="799"/>
    </row>
    <row r="35" spans="2:9" ht="21" hidden="1" thickTop="1">
      <c r="B35" s="453"/>
      <c r="C35" s="453"/>
      <c r="D35" s="453"/>
      <c r="E35" s="453"/>
      <c r="F35" s="439"/>
      <c r="H35" s="454"/>
      <c r="I35" s="454"/>
    </row>
    <row r="36" ht="20.25" hidden="1"/>
    <row r="37" spans="1:9" ht="20.25" hidden="1">
      <c r="A37" s="756" t="s">
        <v>30</v>
      </c>
      <c r="B37" s="756"/>
      <c r="C37" s="756"/>
      <c r="D37" s="756"/>
      <c r="E37" s="756"/>
      <c r="F37" s="756"/>
      <c r="G37" s="756"/>
      <c r="H37" s="756"/>
      <c r="I37" s="756"/>
    </row>
    <row r="38" spans="1:9" ht="20.25" hidden="1">
      <c r="A38" s="756" t="s">
        <v>712</v>
      </c>
      <c r="B38" s="756"/>
      <c r="C38" s="756"/>
      <c r="D38" s="756"/>
      <c r="E38" s="756"/>
      <c r="F38" s="756"/>
      <c r="G38" s="756"/>
      <c r="H38" s="756"/>
      <c r="I38" s="756"/>
    </row>
    <row r="39" spans="1:9" ht="20.25" hidden="1">
      <c r="A39" s="756" t="s">
        <v>674</v>
      </c>
      <c r="B39" s="756"/>
      <c r="C39" s="756"/>
      <c r="D39" s="756"/>
      <c r="E39" s="756"/>
      <c r="F39" s="756"/>
      <c r="G39" s="756"/>
      <c r="H39" s="756"/>
      <c r="I39" s="756"/>
    </row>
    <row r="40" spans="1:9" ht="20.25" hidden="1">
      <c r="A40" s="756" t="s">
        <v>871</v>
      </c>
      <c r="B40" s="756"/>
      <c r="C40" s="756"/>
      <c r="D40" s="756"/>
      <c r="E40" s="756"/>
      <c r="F40" s="756"/>
      <c r="G40" s="756"/>
      <c r="H40" s="756"/>
      <c r="I40" s="756"/>
    </row>
    <row r="41" ht="20.25" hidden="1"/>
    <row r="42" ht="20.25" hidden="1"/>
    <row r="43" spans="1:9" ht="20.25" hidden="1">
      <c r="A43" s="775" t="s">
        <v>686</v>
      </c>
      <c r="B43" s="785"/>
      <c r="C43" s="590" t="s">
        <v>889</v>
      </c>
      <c r="D43" s="777" t="s">
        <v>675</v>
      </c>
      <c r="E43" s="778"/>
      <c r="F43" s="777" t="s">
        <v>676</v>
      </c>
      <c r="G43" s="778"/>
      <c r="H43" s="777" t="s">
        <v>687</v>
      </c>
      <c r="I43" s="778"/>
    </row>
    <row r="44" spans="1:9" ht="20.25" hidden="1">
      <c r="A44" s="431" t="s">
        <v>688</v>
      </c>
      <c r="C44" s="595">
        <v>21437</v>
      </c>
      <c r="D44" s="773">
        <v>334.2</v>
      </c>
      <c r="E44" s="774"/>
      <c r="F44" s="773">
        <v>0</v>
      </c>
      <c r="G44" s="774"/>
      <c r="H44" s="800">
        <f>+C44+D44-F44</f>
        <v>21771.2</v>
      </c>
      <c r="I44" s="774"/>
    </row>
    <row r="45" spans="1:9" ht="20.25" hidden="1">
      <c r="A45" s="431" t="s">
        <v>714</v>
      </c>
      <c r="C45" s="591">
        <v>4615.9</v>
      </c>
      <c r="D45" s="771">
        <v>2513.81</v>
      </c>
      <c r="E45" s="772"/>
      <c r="F45" s="771">
        <v>4615.9</v>
      </c>
      <c r="G45" s="772"/>
      <c r="H45" s="801">
        <f aca="true" t="shared" si="0" ref="H45:H50">+C45+D45-F45</f>
        <v>2513.8099999999995</v>
      </c>
      <c r="I45" s="762"/>
    </row>
    <row r="46" spans="1:9" ht="20.25" hidden="1">
      <c r="A46" s="431" t="s">
        <v>715</v>
      </c>
      <c r="C46" s="591">
        <v>19446</v>
      </c>
      <c r="D46" s="771">
        <v>19442</v>
      </c>
      <c r="E46" s="772"/>
      <c r="F46" s="771">
        <v>19446</v>
      </c>
      <c r="G46" s="772"/>
      <c r="H46" s="801">
        <f t="shared" si="0"/>
        <v>19442</v>
      </c>
      <c r="I46" s="762"/>
    </row>
    <row r="47" spans="1:9" ht="20.25" hidden="1">
      <c r="A47" s="431" t="s">
        <v>690</v>
      </c>
      <c r="C47" s="591">
        <v>794362</v>
      </c>
      <c r="D47" s="761">
        <v>0</v>
      </c>
      <c r="E47" s="762"/>
      <c r="F47" s="771">
        <v>85248</v>
      </c>
      <c r="G47" s="772"/>
      <c r="H47" s="801">
        <f t="shared" si="0"/>
        <v>709114</v>
      </c>
      <c r="I47" s="762"/>
    </row>
    <row r="48" spans="1:9" ht="20.25" hidden="1">
      <c r="A48" s="431" t="s">
        <v>716</v>
      </c>
      <c r="C48" s="589"/>
      <c r="D48" s="769">
        <v>0</v>
      </c>
      <c r="E48" s="770"/>
      <c r="F48" s="765"/>
      <c r="G48" s="766"/>
      <c r="H48" s="801">
        <f t="shared" si="0"/>
        <v>0</v>
      </c>
      <c r="I48" s="762"/>
    </row>
    <row r="49" spans="1:9" ht="20.25" hidden="1">
      <c r="A49" s="431" t="s">
        <v>717</v>
      </c>
      <c r="C49" s="589"/>
      <c r="D49" s="769">
        <v>0</v>
      </c>
      <c r="E49" s="770"/>
      <c r="F49" s="765"/>
      <c r="G49" s="766"/>
      <c r="H49" s="801">
        <f t="shared" si="0"/>
        <v>0</v>
      </c>
      <c r="I49" s="762"/>
    </row>
    <row r="50" spans="1:9" ht="20.25" hidden="1">
      <c r="A50" s="431" t="s">
        <v>718</v>
      </c>
      <c r="C50" s="589"/>
      <c r="D50" s="779">
        <v>0</v>
      </c>
      <c r="E50" s="780"/>
      <c r="F50" s="757"/>
      <c r="G50" s="758"/>
      <c r="H50" s="801">
        <f t="shared" si="0"/>
        <v>0</v>
      </c>
      <c r="I50" s="762"/>
    </row>
    <row r="51" spans="2:11" ht="21" hidden="1" thickBot="1">
      <c r="B51" s="439" t="s">
        <v>34</v>
      </c>
      <c r="C51" s="592">
        <f>SUM(C44:C50)</f>
        <v>839860.9</v>
      </c>
      <c r="D51" s="763">
        <f>SUM(D44:E50)</f>
        <v>22290.01</v>
      </c>
      <c r="E51" s="764"/>
      <c r="F51" s="763">
        <f>SUM(F44:G50)</f>
        <v>109309.9</v>
      </c>
      <c r="G51" s="764"/>
      <c r="H51" s="763">
        <f>SUM(H44:I50)</f>
        <v>752841.01</v>
      </c>
      <c r="I51" s="764"/>
      <c r="J51" s="596">
        <f>+C51+D51-F51</f>
        <v>752841.01</v>
      </c>
      <c r="K51" s="596">
        <f>+H51-J51</f>
        <v>0</v>
      </c>
    </row>
    <row r="52" spans="2:3" ht="21" hidden="1" thickTop="1">
      <c r="B52" s="442" t="s">
        <v>691</v>
      </c>
      <c r="C52" s="442"/>
    </row>
    <row r="53" spans="2:9" ht="20.25" hidden="1">
      <c r="B53" s="442" t="s">
        <v>692</v>
      </c>
      <c r="C53" s="442"/>
      <c r="H53" s="787" t="s">
        <v>693</v>
      </c>
      <c r="I53" s="787"/>
    </row>
    <row r="54" spans="2:9" ht="20.25" hidden="1">
      <c r="B54" s="788" t="s">
        <v>77</v>
      </c>
      <c r="C54" s="788"/>
      <c r="D54" s="788"/>
      <c r="E54" s="788"/>
      <c r="H54" s="789"/>
      <c r="I54" s="789"/>
    </row>
    <row r="55" spans="2:9" ht="20.25" hidden="1">
      <c r="B55" s="790" t="s">
        <v>694</v>
      </c>
      <c r="C55" s="790"/>
      <c r="D55" s="790"/>
      <c r="E55" s="790"/>
      <c r="H55" s="791">
        <v>0</v>
      </c>
      <c r="I55" s="791"/>
    </row>
    <row r="56" spans="2:9" ht="20.25" hidden="1">
      <c r="B56" s="793" t="s">
        <v>76</v>
      </c>
      <c r="C56" s="793"/>
      <c r="D56" s="793"/>
      <c r="E56" s="793"/>
      <c r="H56" s="791"/>
      <c r="I56" s="791"/>
    </row>
    <row r="57" spans="2:9" ht="20.25" hidden="1">
      <c r="B57" s="790"/>
      <c r="C57" s="790"/>
      <c r="D57" s="790"/>
      <c r="E57" s="790"/>
      <c r="H57" s="791"/>
      <c r="I57" s="791"/>
    </row>
    <row r="58" spans="2:9" ht="20.25" hidden="1">
      <c r="B58" s="792" t="s">
        <v>55</v>
      </c>
      <c r="C58" s="792"/>
      <c r="D58" s="790"/>
      <c r="E58" s="790"/>
      <c r="H58" s="791">
        <v>0</v>
      </c>
      <c r="I58" s="791"/>
    </row>
    <row r="59" spans="2:9" ht="20.25" hidden="1">
      <c r="B59" s="797" t="s">
        <v>867</v>
      </c>
      <c r="C59" s="797"/>
      <c r="D59" s="797"/>
      <c r="E59" s="797"/>
      <c r="H59" s="791"/>
      <c r="I59" s="791"/>
    </row>
    <row r="60" spans="2:9" ht="20.25" hidden="1">
      <c r="B60" s="443" t="s">
        <v>868</v>
      </c>
      <c r="C60" s="443"/>
      <c r="D60" s="443"/>
      <c r="E60" s="443"/>
      <c r="H60" s="791"/>
      <c r="I60" s="791"/>
    </row>
    <row r="61" spans="2:9" ht="20.25" hidden="1">
      <c r="B61" s="794"/>
      <c r="C61" s="794"/>
      <c r="D61" s="794"/>
      <c r="E61" s="794"/>
      <c r="H61" s="791"/>
      <c r="I61" s="791"/>
    </row>
    <row r="62" spans="2:9" ht="20.25" hidden="1">
      <c r="B62" s="795"/>
      <c r="C62" s="795"/>
      <c r="D62" s="796"/>
      <c r="E62" s="796"/>
      <c r="F62" s="796"/>
      <c r="H62" s="791"/>
      <c r="I62" s="791"/>
    </row>
    <row r="63" spans="2:9" ht="20.25" hidden="1">
      <c r="B63" s="790"/>
      <c r="C63" s="790"/>
      <c r="D63" s="790"/>
      <c r="E63" s="790"/>
      <c r="F63" s="790"/>
      <c r="H63" s="791"/>
      <c r="I63" s="791"/>
    </row>
    <row r="64" spans="2:9" ht="20.25" hidden="1">
      <c r="B64" s="790"/>
      <c r="C64" s="790"/>
      <c r="D64" s="790"/>
      <c r="E64" s="790"/>
      <c r="F64" s="790"/>
      <c r="H64" s="791">
        <v>0</v>
      </c>
      <c r="I64" s="791"/>
    </row>
    <row r="65" spans="2:9" ht="20.25" hidden="1">
      <c r="B65" s="790"/>
      <c r="C65" s="790"/>
      <c r="D65" s="790"/>
      <c r="E65" s="790"/>
      <c r="F65" s="790"/>
      <c r="H65" s="791">
        <v>0</v>
      </c>
      <c r="I65" s="791"/>
    </row>
    <row r="66" spans="2:9" ht="20.25" hidden="1">
      <c r="B66" s="790"/>
      <c r="C66" s="790"/>
      <c r="D66" s="790"/>
      <c r="E66" s="790"/>
      <c r="F66" s="790"/>
      <c r="H66" s="791">
        <v>0</v>
      </c>
      <c r="I66" s="791"/>
    </row>
    <row r="67" spans="2:9" ht="20.25" hidden="1">
      <c r="B67" s="790"/>
      <c r="C67" s="790"/>
      <c r="D67" s="790"/>
      <c r="E67" s="790"/>
      <c r="F67" s="790"/>
      <c r="H67" s="791">
        <v>0</v>
      </c>
      <c r="I67" s="791"/>
    </row>
    <row r="68" spans="2:9" ht="20.25" hidden="1">
      <c r="B68" s="790"/>
      <c r="C68" s="790"/>
      <c r="D68" s="790"/>
      <c r="E68" s="790"/>
      <c r="F68" s="790"/>
      <c r="H68" s="791">
        <v>0</v>
      </c>
      <c r="I68" s="791"/>
    </row>
    <row r="69" spans="2:9" ht="20.25" hidden="1">
      <c r="B69" s="790"/>
      <c r="C69" s="790"/>
      <c r="D69" s="790"/>
      <c r="E69" s="790"/>
      <c r="F69" s="790"/>
      <c r="H69" s="798"/>
      <c r="I69" s="798"/>
    </row>
    <row r="70" spans="2:9" ht="21" hidden="1" thickBot="1">
      <c r="B70" s="449"/>
      <c r="C70" s="449"/>
      <c r="D70" s="449"/>
      <c r="E70" s="449"/>
      <c r="F70" s="439" t="s">
        <v>528</v>
      </c>
      <c r="H70" s="799">
        <f>SUM(H55:H69)</f>
        <v>0</v>
      </c>
      <c r="I70" s="799"/>
    </row>
    <row r="71" spans="2:9" ht="21" hidden="1" thickTop="1">
      <c r="B71" s="453"/>
      <c r="C71" s="453"/>
      <c r="D71" s="453"/>
      <c r="E71" s="453"/>
      <c r="F71" s="439"/>
      <c r="H71" s="454"/>
      <c r="I71" s="454"/>
    </row>
    <row r="72" spans="1:9" ht="20.25" hidden="1">
      <c r="A72" s="756" t="s">
        <v>30</v>
      </c>
      <c r="B72" s="756"/>
      <c r="C72" s="756"/>
      <c r="D72" s="756"/>
      <c r="E72" s="756"/>
      <c r="F72" s="756"/>
      <c r="G72" s="756"/>
      <c r="H72" s="756"/>
      <c r="I72" s="756"/>
    </row>
    <row r="73" spans="1:9" ht="20.25" hidden="1">
      <c r="A73" s="756" t="s">
        <v>712</v>
      </c>
      <c r="B73" s="756"/>
      <c r="C73" s="756"/>
      <c r="D73" s="756"/>
      <c r="E73" s="756"/>
      <c r="F73" s="756"/>
      <c r="G73" s="756"/>
      <c r="H73" s="756"/>
      <c r="I73" s="756"/>
    </row>
    <row r="74" spans="1:9" ht="20.25" hidden="1">
      <c r="A74" s="756" t="s">
        <v>674</v>
      </c>
      <c r="B74" s="756"/>
      <c r="C74" s="756"/>
      <c r="D74" s="756"/>
      <c r="E74" s="756"/>
      <c r="F74" s="756"/>
      <c r="G74" s="756"/>
      <c r="H74" s="756"/>
      <c r="I74" s="756"/>
    </row>
    <row r="75" spans="1:9" ht="20.25" hidden="1">
      <c r="A75" s="756" t="s">
        <v>888</v>
      </c>
      <c r="B75" s="756"/>
      <c r="C75" s="756"/>
      <c r="D75" s="756"/>
      <c r="E75" s="756"/>
      <c r="F75" s="756"/>
      <c r="G75" s="756"/>
      <c r="H75" s="756"/>
      <c r="I75" s="756"/>
    </row>
    <row r="76" ht="20.25" hidden="1"/>
    <row r="77" ht="20.25" hidden="1"/>
    <row r="78" spans="1:9" ht="20.25" hidden="1">
      <c r="A78" s="775" t="s">
        <v>686</v>
      </c>
      <c r="B78" s="776"/>
      <c r="C78" s="590" t="s">
        <v>889</v>
      </c>
      <c r="D78" s="777" t="s">
        <v>675</v>
      </c>
      <c r="E78" s="778"/>
      <c r="F78" s="777" t="s">
        <v>676</v>
      </c>
      <c r="G78" s="778"/>
      <c r="H78" s="777" t="s">
        <v>687</v>
      </c>
      <c r="I78" s="778"/>
    </row>
    <row r="79" spans="1:9" ht="20.25" hidden="1">
      <c r="A79" s="431" t="s">
        <v>688</v>
      </c>
      <c r="C79" s="591">
        <v>21771.2</v>
      </c>
      <c r="D79" s="773">
        <v>64.55</v>
      </c>
      <c r="E79" s="774"/>
      <c r="F79" s="773"/>
      <c r="G79" s="774"/>
      <c r="H79" s="761">
        <f aca="true" t="shared" si="1" ref="H79:H85">+C79+D79-F79</f>
        <v>21835.75</v>
      </c>
      <c r="I79" s="762"/>
    </row>
    <row r="80" spans="1:9" ht="20.25" hidden="1">
      <c r="A80" s="431" t="s">
        <v>714</v>
      </c>
      <c r="C80" s="591">
        <v>2513.81</v>
      </c>
      <c r="D80" s="771">
        <v>7159.79</v>
      </c>
      <c r="E80" s="772"/>
      <c r="F80" s="771">
        <v>2513.81</v>
      </c>
      <c r="G80" s="772"/>
      <c r="H80" s="761">
        <f t="shared" si="1"/>
        <v>7159.790000000001</v>
      </c>
      <c r="I80" s="762"/>
    </row>
    <row r="81" spans="1:9" ht="20.25" hidden="1">
      <c r="A81" s="431" t="s">
        <v>715</v>
      </c>
      <c r="C81" s="591">
        <v>19442</v>
      </c>
      <c r="D81" s="771">
        <v>19442</v>
      </c>
      <c r="E81" s="772"/>
      <c r="F81" s="771">
        <v>19442</v>
      </c>
      <c r="G81" s="772"/>
      <c r="H81" s="761">
        <f t="shared" si="1"/>
        <v>19442</v>
      </c>
      <c r="I81" s="762"/>
    </row>
    <row r="82" spans="1:9" ht="20.25" hidden="1">
      <c r="A82" s="431" t="s">
        <v>690</v>
      </c>
      <c r="C82" s="591">
        <v>709114</v>
      </c>
      <c r="D82" s="761">
        <v>98000</v>
      </c>
      <c r="E82" s="762"/>
      <c r="F82" s="771">
        <v>30824</v>
      </c>
      <c r="G82" s="772"/>
      <c r="H82" s="761">
        <f t="shared" si="1"/>
        <v>776290</v>
      </c>
      <c r="I82" s="762"/>
    </row>
    <row r="83" spans="1:9" ht="20.25" hidden="1">
      <c r="A83" s="431" t="s">
        <v>901</v>
      </c>
      <c r="C83" s="589"/>
      <c r="D83" s="769">
        <v>2025</v>
      </c>
      <c r="E83" s="770"/>
      <c r="F83" s="765"/>
      <c r="G83" s="766"/>
      <c r="H83" s="761">
        <f t="shared" si="1"/>
        <v>2025</v>
      </c>
      <c r="I83" s="762"/>
    </row>
    <row r="84" spans="3:9" ht="20.25" hidden="1">
      <c r="C84" s="589"/>
      <c r="D84" s="769">
        <v>0</v>
      </c>
      <c r="E84" s="770"/>
      <c r="F84" s="765"/>
      <c r="G84" s="766"/>
      <c r="H84" s="761">
        <f t="shared" si="1"/>
        <v>0</v>
      </c>
      <c r="I84" s="762"/>
    </row>
    <row r="85" spans="3:9" ht="20.25" hidden="1">
      <c r="C85" s="589"/>
      <c r="D85" s="779">
        <v>0</v>
      </c>
      <c r="E85" s="780"/>
      <c r="F85" s="757"/>
      <c r="G85" s="758"/>
      <c r="H85" s="761">
        <f t="shared" si="1"/>
        <v>0</v>
      </c>
      <c r="I85" s="762"/>
    </row>
    <row r="86" spans="2:11" ht="21" hidden="1" thickBot="1">
      <c r="B86" s="439" t="s">
        <v>34</v>
      </c>
      <c r="C86" s="592">
        <f>SUM(C79:C85)</f>
        <v>752841.01</v>
      </c>
      <c r="D86" s="763">
        <f>SUM(D79:E85)</f>
        <v>126691.34</v>
      </c>
      <c r="E86" s="764"/>
      <c r="F86" s="763">
        <f>SUM(F79:G85)</f>
        <v>52779.81</v>
      </c>
      <c r="G86" s="764"/>
      <c r="H86" s="763">
        <f>SUM(H79:I85)</f>
        <v>826752.54</v>
      </c>
      <c r="I86" s="764"/>
      <c r="J86" s="596">
        <f>+C86+D86-F86</f>
        <v>826752.54</v>
      </c>
      <c r="K86" s="596">
        <f>+J86-H86</f>
        <v>0</v>
      </c>
    </row>
    <row r="87" spans="2:9" ht="21" hidden="1" thickTop="1">
      <c r="B87" s="439"/>
      <c r="C87" s="593"/>
      <c r="D87" s="594"/>
      <c r="E87" s="594"/>
      <c r="F87" s="594"/>
      <c r="G87" s="594"/>
      <c r="H87" s="594"/>
      <c r="I87" s="594"/>
    </row>
    <row r="88" spans="2:3" ht="20.25" hidden="1">
      <c r="B88" s="442" t="s">
        <v>691</v>
      </c>
      <c r="C88" s="442"/>
    </row>
    <row r="89" spans="2:9" ht="20.25" hidden="1">
      <c r="B89" s="442" t="s">
        <v>692</v>
      </c>
      <c r="C89" s="442"/>
      <c r="H89" s="787" t="s">
        <v>693</v>
      </c>
      <c r="I89" s="787"/>
    </row>
    <row r="90" spans="2:9" ht="20.25" hidden="1">
      <c r="B90" s="788" t="s">
        <v>77</v>
      </c>
      <c r="C90" s="788"/>
      <c r="D90" s="788"/>
      <c r="E90" s="788"/>
      <c r="H90" s="789"/>
      <c r="I90" s="789"/>
    </row>
    <row r="91" spans="2:9" ht="20.25" hidden="1">
      <c r="B91" s="790" t="s">
        <v>694</v>
      </c>
      <c r="C91" s="790"/>
      <c r="D91" s="790"/>
      <c r="E91" s="790"/>
      <c r="H91" s="791">
        <v>0</v>
      </c>
      <c r="I91" s="791"/>
    </row>
    <row r="92" spans="2:9" ht="20.25" hidden="1">
      <c r="B92" s="793" t="s">
        <v>76</v>
      </c>
      <c r="C92" s="793"/>
      <c r="D92" s="793"/>
      <c r="E92" s="793"/>
      <c r="H92" s="791"/>
      <c r="I92" s="791"/>
    </row>
    <row r="93" spans="2:9" ht="20.25" hidden="1">
      <c r="B93" s="790"/>
      <c r="C93" s="790"/>
      <c r="D93" s="790"/>
      <c r="E93" s="790"/>
      <c r="H93" s="791"/>
      <c r="I93" s="791"/>
    </row>
    <row r="94" spans="2:9" ht="20.25" hidden="1">
      <c r="B94" s="792" t="s">
        <v>55</v>
      </c>
      <c r="C94" s="792"/>
      <c r="D94" s="790"/>
      <c r="E94" s="790"/>
      <c r="H94" s="791">
        <v>0</v>
      </c>
      <c r="I94" s="791"/>
    </row>
    <row r="95" spans="2:9" ht="20.25" hidden="1">
      <c r="B95" s="797" t="s">
        <v>867</v>
      </c>
      <c r="C95" s="797"/>
      <c r="D95" s="797"/>
      <c r="E95" s="797"/>
      <c r="H95" s="791"/>
      <c r="I95" s="791"/>
    </row>
    <row r="96" spans="2:9" ht="20.25" hidden="1">
      <c r="B96" s="443" t="s">
        <v>868</v>
      </c>
      <c r="C96" s="443"/>
      <c r="D96" s="443"/>
      <c r="E96" s="443"/>
      <c r="H96" s="791"/>
      <c r="I96" s="791"/>
    </row>
    <row r="97" spans="2:9" ht="20.25" hidden="1">
      <c r="B97" s="794"/>
      <c r="C97" s="794"/>
      <c r="D97" s="794"/>
      <c r="E97" s="794"/>
      <c r="H97" s="791"/>
      <c r="I97" s="791"/>
    </row>
    <row r="98" spans="2:9" ht="20.25" hidden="1">
      <c r="B98" s="795"/>
      <c r="C98" s="795"/>
      <c r="D98" s="796"/>
      <c r="E98" s="796"/>
      <c r="F98" s="796"/>
      <c r="H98" s="791"/>
      <c r="I98" s="791"/>
    </row>
    <row r="99" spans="2:9" ht="20.25" hidden="1">
      <c r="B99" s="790"/>
      <c r="C99" s="790"/>
      <c r="D99" s="790"/>
      <c r="E99" s="790"/>
      <c r="F99" s="790"/>
      <c r="H99" s="791"/>
      <c r="I99" s="791"/>
    </row>
    <row r="100" spans="2:9" ht="20.25" hidden="1">
      <c r="B100" s="790"/>
      <c r="C100" s="790"/>
      <c r="D100" s="790"/>
      <c r="E100" s="790"/>
      <c r="F100" s="790"/>
      <c r="H100" s="791">
        <v>0</v>
      </c>
      <c r="I100" s="791"/>
    </row>
    <row r="101" spans="2:9" ht="20.25" hidden="1">
      <c r="B101" s="790"/>
      <c r="C101" s="790"/>
      <c r="D101" s="790"/>
      <c r="E101" s="790"/>
      <c r="F101" s="790"/>
      <c r="H101" s="791">
        <v>0</v>
      </c>
      <c r="I101" s="791"/>
    </row>
    <row r="102" spans="2:9" ht="20.25" hidden="1">
      <c r="B102" s="790"/>
      <c r="C102" s="790"/>
      <c r="D102" s="790"/>
      <c r="E102" s="790"/>
      <c r="F102" s="790"/>
      <c r="H102" s="791">
        <v>0</v>
      </c>
      <c r="I102" s="791"/>
    </row>
    <row r="103" spans="2:9" ht="20.25" hidden="1">
      <c r="B103" s="790"/>
      <c r="C103" s="790"/>
      <c r="D103" s="790"/>
      <c r="E103" s="790"/>
      <c r="F103" s="790"/>
      <c r="H103" s="791">
        <v>0</v>
      </c>
      <c r="I103" s="791"/>
    </row>
    <row r="104" spans="2:9" ht="20.25" hidden="1">
      <c r="B104" s="790"/>
      <c r="C104" s="790"/>
      <c r="D104" s="790"/>
      <c r="E104" s="790"/>
      <c r="F104" s="790"/>
      <c r="H104" s="791">
        <v>0</v>
      </c>
      <c r="I104" s="791"/>
    </row>
    <row r="105" spans="2:9" ht="20.25" hidden="1">
      <c r="B105" s="790"/>
      <c r="C105" s="790"/>
      <c r="D105" s="790"/>
      <c r="E105" s="790"/>
      <c r="F105" s="790"/>
      <c r="H105" s="798"/>
      <c r="I105" s="798"/>
    </row>
    <row r="106" spans="2:9" ht="21" hidden="1" thickBot="1">
      <c r="B106" s="449"/>
      <c r="C106" s="449"/>
      <c r="D106" s="449"/>
      <c r="E106" s="449"/>
      <c r="F106" s="439" t="s">
        <v>528</v>
      </c>
      <c r="H106" s="799">
        <f>SUM(H91:H105)</f>
        <v>0</v>
      </c>
      <c r="I106" s="799"/>
    </row>
    <row r="107" ht="21" hidden="1" thickTop="1"/>
    <row r="108" spans="1:9" ht="20.25" hidden="1">
      <c r="A108" s="756" t="s">
        <v>30</v>
      </c>
      <c r="B108" s="756"/>
      <c r="C108" s="756"/>
      <c r="D108" s="756"/>
      <c r="E108" s="756"/>
      <c r="F108" s="756"/>
      <c r="G108" s="756"/>
      <c r="H108" s="756"/>
      <c r="I108" s="756"/>
    </row>
    <row r="109" spans="1:9" ht="20.25" hidden="1">
      <c r="A109" s="756" t="s">
        <v>712</v>
      </c>
      <c r="B109" s="756"/>
      <c r="C109" s="756"/>
      <c r="D109" s="756"/>
      <c r="E109" s="756"/>
      <c r="F109" s="756"/>
      <c r="G109" s="756"/>
      <c r="H109" s="756"/>
      <c r="I109" s="756"/>
    </row>
    <row r="110" spans="1:9" ht="20.25" hidden="1">
      <c r="A110" s="756" t="s">
        <v>674</v>
      </c>
      <c r="B110" s="756"/>
      <c r="C110" s="756"/>
      <c r="D110" s="756"/>
      <c r="E110" s="756"/>
      <c r="F110" s="756"/>
      <c r="G110" s="756"/>
      <c r="H110" s="756"/>
      <c r="I110" s="756"/>
    </row>
    <row r="111" spans="1:9" ht="20.25" hidden="1">
      <c r="A111" s="756" t="s">
        <v>904</v>
      </c>
      <c r="B111" s="756"/>
      <c r="C111" s="756"/>
      <c r="D111" s="756"/>
      <c r="E111" s="756"/>
      <c r="F111" s="756"/>
      <c r="G111" s="756"/>
      <c r="H111" s="756"/>
      <c r="I111" s="756"/>
    </row>
    <row r="112" ht="20.25" hidden="1"/>
    <row r="113" ht="20.25" hidden="1"/>
    <row r="114" spans="1:9" ht="20.25" hidden="1">
      <c r="A114" s="775" t="s">
        <v>686</v>
      </c>
      <c r="B114" s="776"/>
      <c r="C114" s="590" t="s">
        <v>889</v>
      </c>
      <c r="D114" s="777" t="s">
        <v>675</v>
      </c>
      <c r="E114" s="778"/>
      <c r="F114" s="777" t="s">
        <v>676</v>
      </c>
      <c r="G114" s="778"/>
      <c r="H114" s="777" t="s">
        <v>687</v>
      </c>
      <c r="I114" s="778"/>
    </row>
    <row r="115" spans="1:9" ht="20.25" hidden="1">
      <c r="A115" s="431" t="s">
        <v>688</v>
      </c>
      <c r="C115" s="591">
        <v>21835.75</v>
      </c>
      <c r="D115" s="773">
        <v>234.35</v>
      </c>
      <c r="E115" s="774"/>
      <c r="F115" s="773">
        <v>517.05</v>
      </c>
      <c r="G115" s="774"/>
      <c r="H115" s="761">
        <f aca="true" t="shared" si="2" ref="H115:H121">+C115+D115-F115</f>
        <v>21553.05</v>
      </c>
      <c r="I115" s="762"/>
    </row>
    <row r="116" spans="1:9" ht="20.25" hidden="1">
      <c r="A116" s="431" t="s">
        <v>714</v>
      </c>
      <c r="C116" s="591">
        <v>7159.79</v>
      </c>
      <c r="D116" s="771">
        <v>7378.29</v>
      </c>
      <c r="E116" s="772"/>
      <c r="F116" s="771">
        <v>7159.79</v>
      </c>
      <c r="G116" s="772"/>
      <c r="H116" s="761">
        <f t="shared" si="2"/>
        <v>7378.29</v>
      </c>
      <c r="I116" s="762"/>
    </row>
    <row r="117" spans="1:9" ht="20.25" hidden="1">
      <c r="A117" s="431" t="s">
        <v>715</v>
      </c>
      <c r="C117" s="591">
        <v>19442</v>
      </c>
      <c r="D117" s="771">
        <v>18542</v>
      </c>
      <c r="E117" s="772"/>
      <c r="F117" s="771">
        <v>19442</v>
      </c>
      <c r="G117" s="772"/>
      <c r="H117" s="761">
        <f t="shared" si="2"/>
        <v>18542</v>
      </c>
      <c r="I117" s="762"/>
    </row>
    <row r="118" spans="1:9" ht="20.25" hidden="1">
      <c r="A118" s="431" t="s">
        <v>690</v>
      </c>
      <c r="C118" s="591">
        <v>776290</v>
      </c>
      <c r="D118" s="761">
        <v>83610</v>
      </c>
      <c r="E118" s="762"/>
      <c r="F118" s="771">
        <v>46495</v>
      </c>
      <c r="G118" s="772"/>
      <c r="H118" s="761">
        <f t="shared" si="2"/>
        <v>813405</v>
      </c>
      <c r="I118" s="762"/>
    </row>
    <row r="119" spans="1:9" ht="20.25" hidden="1">
      <c r="A119" s="431" t="s">
        <v>901</v>
      </c>
      <c r="C119" s="591">
        <v>2025</v>
      </c>
      <c r="D119" s="769">
        <v>0</v>
      </c>
      <c r="E119" s="770"/>
      <c r="F119" s="765">
        <v>2025</v>
      </c>
      <c r="G119" s="766"/>
      <c r="H119" s="761">
        <f t="shared" si="2"/>
        <v>0</v>
      </c>
      <c r="I119" s="762"/>
    </row>
    <row r="120" spans="1:9" ht="20.25" hidden="1">
      <c r="A120" s="431" t="s">
        <v>908</v>
      </c>
      <c r="C120" s="589"/>
      <c r="D120" s="769">
        <v>540</v>
      </c>
      <c r="E120" s="770"/>
      <c r="F120" s="765">
        <v>540</v>
      </c>
      <c r="G120" s="766"/>
      <c r="H120" s="761">
        <f t="shared" si="2"/>
        <v>0</v>
      </c>
      <c r="I120" s="762"/>
    </row>
    <row r="121" spans="3:9" ht="20.25" hidden="1">
      <c r="C121" s="589"/>
      <c r="D121" s="779"/>
      <c r="E121" s="780"/>
      <c r="F121" s="757"/>
      <c r="G121" s="758"/>
      <c r="H121" s="761">
        <f t="shared" si="2"/>
        <v>0</v>
      </c>
      <c r="I121" s="762"/>
    </row>
    <row r="122" spans="2:11" ht="21" hidden="1" thickBot="1">
      <c r="B122" s="439" t="s">
        <v>34</v>
      </c>
      <c r="C122" s="592">
        <f>SUM(C115:C121)</f>
        <v>826752.54</v>
      </c>
      <c r="D122" s="763">
        <f>SUM(D115:E121)</f>
        <v>110304.64</v>
      </c>
      <c r="E122" s="764"/>
      <c r="F122" s="763">
        <f>SUM(F115:G121)</f>
        <v>76178.84</v>
      </c>
      <c r="G122" s="764"/>
      <c r="H122" s="763">
        <f>SUM(H115:I121)</f>
        <v>860878.34</v>
      </c>
      <c r="I122" s="764"/>
      <c r="J122" s="596">
        <f>+C122+D122-F122</f>
        <v>860878.3400000001</v>
      </c>
      <c r="K122" s="596">
        <f>+J122-H122</f>
        <v>0</v>
      </c>
    </row>
    <row r="123" ht="21" hidden="1" thickTop="1"/>
    <row r="124" spans="1:9" ht="20.25" hidden="1">
      <c r="A124" s="756" t="s">
        <v>30</v>
      </c>
      <c r="B124" s="756"/>
      <c r="C124" s="756"/>
      <c r="D124" s="756"/>
      <c r="E124" s="756"/>
      <c r="F124" s="756"/>
      <c r="G124" s="756"/>
      <c r="H124" s="756"/>
      <c r="I124" s="756"/>
    </row>
    <row r="125" spans="1:9" ht="20.25" hidden="1">
      <c r="A125" s="756" t="s">
        <v>712</v>
      </c>
      <c r="B125" s="756"/>
      <c r="C125" s="756"/>
      <c r="D125" s="756"/>
      <c r="E125" s="756"/>
      <c r="F125" s="756"/>
      <c r="G125" s="756"/>
      <c r="H125" s="756"/>
      <c r="I125" s="756"/>
    </row>
    <row r="126" spans="1:9" ht="20.25" hidden="1">
      <c r="A126" s="756" t="s">
        <v>674</v>
      </c>
      <c r="B126" s="756"/>
      <c r="C126" s="756"/>
      <c r="D126" s="756"/>
      <c r="E126" s="756"/>
      <c r="F126" s="756"/>
      <c r="G126" s="756"/>
      <c r="H126" s="756"/>
      <c r="I126" s="756"/>
    </row>
    <row r="127" spans="1:9" ht="20.25" hidden="1">
      <c r="A127" s="756" t="s">
        <v>911</v>
      </c>
      <c r="B127" s="756"/>
      <c r="C127" s="756"/>
      <c r="D127" s="756"/>
      <c r="E127" s="756"/>
      <c r="F127" s="756"/>
      <c r="G127" s="756"/>
      <c r="H127" s="756"/>
      <c r="I127" s="756"/>
    </row>
    <row r="128" ht="20.25" hidden="1"/>
    <row r="129" ht="20.25" hidden="1"/>
    <row r="130" spans="1:9" ht="20.25" hidden="1">
      <c r="A130" s="775" t="s">
        <v>686</v>
      </c>
      <c r="B130" s="776"/>
      <c r="C130" s="590" t="s">
        <v>889</v>
      </c>
      <c r="D130" s="777" t="s">
        <v>675</v>
      </c>
      <c r="E130" s="778"/>
      <c r="F130" s="777" t="s">
        <v>676</v>
      </c>
      <c r="G130" s="778"/>
      <c r="H130" s="777" t="s">
        <v>687</v>
      </c>
      <c r="I130" s="778"/>
    </row>
    <row r="131" spans="1:9" ht="20.25" hidden="1">
      <c r="A131" s="431" t="s">
        <v>688</v>
      </c>
      <c r="C131" s="595">
        <v>21553.05</v>
      </c>
      <c r="D131" s="773">
        <v>1.1</v>
      </c>
      <c r="E131" s="774"/>
      <c r="F131" s="773">
        <v>0</v>
      </c>
      <c r="G131" s="774"/>
      <c r="H131" s="761">
        <f aca="true" t="shared" si="3" ref="H131:H139">+C131+D131-F131</f>
        <v>21554.149999999998</v>
      </c>
      <c r="I131" s="762"/>
    </row>
    <row r="132" spans="1:9" ht="20.25" hidden="1">
      <c r="A132" s="431" t="s">
        <v>714</v>
      </c>
      <c r="C132" s="591">
        <v>7378.29</v>
      </c>
      <c r="D132" s="771">
        <v>15989.07</v>
      </c>
      <c r="E132" s="772"/>
      <c r="F132" s="771">
        <v>7378.29</v>
      </c>
      <c r="G132" s="772"/>
      <c r="H132" s="761">
        <f t="shared" si="3"/>
        <v>15989.07</v>
      </c>
      <c r="I132" s="762"/>
    </row>
    <row r="133" spans="1:9" ht="20.25" hidden="1">
      <c r="A133" s="431" t="s">
        <v>715</v>
      </c>
      <c r="C133" s="591">
        <v>18542</v>
      </c>
      <c r="D133" s="771">
        <v>16564</v>
      </c>
      <c r="E133" s="772"/>
      <c r="F133" s="771">
        <v>18542</v>
      </c>
      <c r="G133" s="772"/>
      <c r="H133" s="761">
        <f t="shared" si="3"/>
        <v>16564</v>
      </c>
      <c r="I133" s="762"/>
    </row>
    <row r="134" spans="1:9" ht="20.25" hidden="1">
      <c r="A134" s="431" t="s">
        <v>690</v>
      </c>
      <c r="C134" s="591">
        <v>813405</v>
      </c>
      <c r="D134" s="761">
        <v>17750</v>
      </c>
      <c r="E134" s="762"/>
      <c r="F134" s="771">
        <v>21490</v>
      </c>
      <c r="G134" s="772"/>
      <c r="H134" s="761">
        <f t="shared" si="3"/>
        <v>809665</v>
      </c>
      <c r="I134" s="762"/>
    </row>
    <row r="135" spans="1:9" ht="20.25" hidden="1">
      <c r="A135" s="431" t="s">
        <v>901</v>
      </c>
      <c r="C135" s="591">
        <v>0</v>
      </c>
      <c r="D135" s="769">
        <v>0</v>
      </c>
      <c r="E135" s="770"/>
      <c r="F135" s="765"/>
      <c r="G135" s="766"/>
      <c r="H135" s="761">
        <f t="shared" si="3"/>
        <v>0</v>
      </c>
      <c r="I135" s="762"/>
    </row>
    <row r="136" spans="1:9" ht="20.25" hidden="1">
      <c r="A136" s="431" t="s">
        <v>908</v>
      </c>
      <c r="C136" s="591">
        <v>0</v>
      </c>
      <c r="D136" s="769">
        <v>0</v>
      </c>
      <c r="E136" s="770"/>
      <c r="F136" s="765"/>
      <c r="G136" s="766"/>
      <c r="H136" s="761">
        <f t="shared" si="3"/>
        <v>0</v>
      </c>
      <c r="I136" s="762"/>
    </row>
    <row r="137" spans="1:9" ht="20.25" hidden="1">
      <c r="A137" s="431" t="s">
        <v>915</v>
      </c>
      <c r="C137" s="591"/>
      <c r="D137" s="765">
        <v>12496.25</v>
      </c>
      <c r="E137" s="766"/>
      <c r="F137" s="767">
        <v>12496.25</v>
      </c>
      <c r="G137" s="768"/>
      <c r="H137" s="761">
        <f>+C137+D137-F137</f>
        <v>0</v>
      </c>
      <c r="I137" s="762"/>
    </row>
    <row r="138" spans="1:9" ht="20.25" hidden="1">
      <c r="A138" s="431" t="s">
        <v>916</v>
      </c>
      <c r="C138" s="591"/>
      <c r="D138" s="765">
        <v>500</v>
      </c>
      <c r="E138" s="766"/>
      <c r="F138" s="767">
        <v>500</v>
      </c>
      <c r="G138" s="768"/>
      <c r="H138" s="761">
        <f>+C138+D138-F138</f>
        <v>0</v>
      </c>
      <c r="I138" s="762"/>
    </row>
    <row r="139" spans="3:9" ht="20.25" hidden="1">
      <c r="C139" s="607">
        <v>0</v>
      </c>
      <c r="D139" s="779"/>
      <c r="E139" s="780"/>
      <c r="F139" s="757"/>
      <c r="G139" s="758"/>
      <c r="H139" s="761">
        <f t="shared" si="3"/>
        <v>0</v>
      </c>
      <c r="I139" s="762"/>
    </row>
    <row r="140" spans="2:11" ht="21" hidden="1" thickBot="1">
      <c r="B140" s="439" t="s">
        <v>34</v>
      </c>
      <c r="C140" s="592">
        <f>SUM(C131:C139)</f>
        <v>860878.34</v>
      </c>
      <c r="D140" s="763">
        <f>SUM(D131:E139)</f>
        <v>63300.42</v>
      </c>
      <c r="E140" s="764"/>
      <c r="F140" s="763">
        <f>SUM(F131:G139)</f>
        <v>60406.54</v>
      </c>
      <c r="G140" s="764"/>
      <c r="H140" s="763">
        <f>SUM(H131:I139)</f>
        <v>863772.22</v>
      </c>
      <c r="I140" s="764"/>
      <c r="J140" s="596">
        <f>+C140+D140-F140</f>
        <v>863772.22</v>
      </c>
      <c r="K140" s="596">
        <f>+J140-H140</f>
        <v>0</v>
      </c>
    </row>
    <row r="141" ht="21" hidden="1" thickTop="1"/>
    <row r="142" spans="1:9" ht="20.25" hidden="1">
      <c r="A142" s="756" t="s">
        <v>30</v>
      </c>
      <c r="B142" s="756"/>
      <c r="C142" s="756"/>
      <c r="D142" s="756"/>
      <c r="E142" s="756"/>
      <c r="F142" s="756"/>
      <c r="G142" s="756"/>
      <c r="H142" s="756"/>
      <c r="I142" s="756"/>
    </row>
    <row r="143" spans="1:9" ht="20.25" hidden="1">
      <c r="A143" s="756" t="s">
        <v>712</v>
      </c>
      <c r="B143" s="756"/>
      <c r="C143" s="756"/>
      <c r="D143" s="756"/>
      <c r="E143" s="756"/>
      <c r="F143" s="756"/>
      <c r="G143" s="756"/>
      <c r="H143" s="756"/>
      <c r="I143" s="756"/>
    </row>
    <row r="144" spans="1:9" ht="20.25" hidden="1">
      <c r="A144" s="756" t="s">
        <v>674</v>
      </c>
      <c r="B144" s="756"/>
      <c r="C144" s="756"/>
      <c r="D144" s="756"/>
      <c r="E144" s="756"/>
      <c r="F144" s="756"/>
      <c r="G144" s="756"/>
      <c r="H144" s="756"/>
      <c r="I144" s="756"/>
    </row>
    <row r="145" spans="1:9" ht="20.25" hidden="1">
      <c r="A145" s="756" t="s">
        <v>917</v>
      </c>
      <c r="B145" s="756"/>
      <c r="C145" s="756"/>
      <c r="D145" s="756"/>
      <c r="E145" s="756"/>
      <c r="F145" s="756"/>
      <c r="G145" s="756"/>
      <c r="H145" s="756"/>
      <c r="I145" s="756"/>
    </row>
    <row r="146" ht="20.25" hidden="1"/>
    <row r="147" ht="20.25" hidden="1"/>
    <row r="148" spans="1:9" ht="20.25" hidden="1">
      <c r="A148" s="775" t="s">
        <v>686</v>
      </c>
      <c r="B148" s="776"/>
      <c r="C148" s="590" t="s">
        <v>889</v>
      </c>
      <c r="D148" s="777" t="s">
        <v>675</v>
      </c>
      <c r="E148" s="778"/>
      <c r="F148" s="777" t="s">
        <v>676</v>
      </c>
      <c r="G148" s="778"/>
      <c r="H148" s="777" t="s">
        <v>687</v>
      </c>
      <c r="I148" s="778"/>
    </row>
    <row r="149" spans="1:9" ht="20.25" hidden="1">
      <c r="A149" s="431" t="s">
        <v>688</v>
      </c>
      <c r="C149" s="595">
        <v>21554.149999999998</v>
      </c>
      <c r="D149" s="773">
        <v>0</v>
      </c>
      <c r="E149" s="774"/>
      <c r="F149" s="773">
        <v>0</v>
      </c>
      <c r="G149" s="774"/>
      <c r="H149" s="761">
        <f aca="true" t="shared" si="4" ref="H149:H154">+C149+D149-F149</f>
        <v>21554.149999999998</v>
      </c>
      <c r="I149" s="762"/>
    </row>
    <row r="150" spans="1:9" ht="20.25" hidden="1">
      <c r="A150" s="431" t="s">
        <v>714</v>
      </c>
      <c r="C150" s="591">
        <v>15989.07</v>
      </c>
      <c r="D150" s="771">
        <v>14690.73</v>
      </c>
      <c r="E150" s="772"/>
      <c r="F150" s="771">
        <v>15989.07</v>
      </c>
      <c r="G150" s="772"/>
      <c r="H150" s="761">
        <f t="shared" si="4"/>
        <v>14690.73</v>
      </c>
      <c r="I150" s="762"/>
    </row>
    <row r="151" spans="1:9" ht="20.25" hidden="1">
      <c r="A151" s="431" t="s">
        <v>715</v>
      </c>
      <c r="C151" s="591">
        <v>16564</v>
      </c>
      <c r="D151" s="771">
        <v>16564</v>
      </c>
      <c r="E151" s="772"/>
      <c r="F151" s="771">
        <v>16564</v>
      </c>
      <c r="G151" s="772"/>
      <c r="H151" s="761">
        <f t="shared" si="4"/>
        <v>16564</v>
      </c>
      <c r="I151" s="762"/>
    </row>
    <row r="152" spans="1:9" ht="20.25" hidden="1">
      <c r="A152" s="431" t="s">
        <v>690</v>
      </c>
      <c r="C152" s="591">
        <v>809665</v>
      </c>
      <c r="D152" s="761">
        <v>34675</v>
      </c>
      <c r="E152" s="762"/>
      <c r="F152" s="771">
        <v>800</v>
      </c>
      <c r="G152" s="772"/>
      <c r="H152" s="761">
        <f t="shared" si="4"/>
        <v>843540</v>
      </c>
      <c r="I152" s="762"/>
    </row>
    <row r="153" spans="1:9" ht="20.25" hidden="1">
      <c r="A153" s="431" t="s">
        <v>901</v>
      </c>
      <c r="C153" s="591">
        <v>0</v>
      </c>
      <c r="D153" s="769">
        <v>0</v>
      </c>
      <c r="E153" s="770"/>
      <c r="F153" s="765"/>
      <c r="G153" s="766"/>
      <c r="H153" s="761">
        <f t="shared" si="4"/>
        <v>0</v>
      </c>
      <c r="I153" s="762"/>
    </row>
    <row r="154" spans="1:9" ht="20.25" hidden="1">
      <c r="A154" s="431" t="s">
        <v>908</v>
      </c>
      <c r="C154" s="591">
        <v>0</v>
      </c>
      <c r="D154" s="769">
        <v>0</v>
      </c>
      <c r="E154" s="770"/>
      <c r="F154" s="765"/>
      <c r="G154" s="766"/>
      <c r="H154" s="761">
        <f t="shared" si="4"/>
        <v>0</v>
      </c>
      <c r="I154" s="762"/>
    </row>
    <row r="155" spans="1:9" ht="20.25" hidden="1">
      <c r="A155" s="431" t="s">
        <v>915</v>
      </c>
      <c r="C155" s="591"/>
      <c r="D155" s="765"/>
      <c r="E155" s="766"/>
      <c r="F155" s="767"/>
      <c r="G155" s="768"/>
      <c r="H155" s="761">
        <f>+C155+D155-F155</f>
        <v>0</v>
      </c>
      <c r="I155" s="762"/>
    </row>
    <row r="156" spans="1:9" ht="20.25" hidden="1">
      <c r="A156" s="431" t="s">
        <v>916</v>
      </c>
      <c r="C156" s="591"/>
      <c r="D156" s="765"/>
      <c r="E156" s="766"/>
      <c r="F156" s="767"/>
      <c r="G156" s="768"/>
      <c r="H156" s="761">
        <f>+C156+D156-F156</f>
        <v>0</v>
      </c>
      <c r="I156" s="762"/>
    </row>
    <row r="157" spans="3:9" ht="20.25" hidden="1">
      <c r="C157" s="607">
        <v>0</v>
      </c>
      <c r="D157" s="779"/>
      <c r="E157" s="780"/>
      <c r="F157" s="757"/>
      <c r="G157" s="758"/>
      <c r="H157" s="761">
        <f>+C157+D157-F157</f>
        <v>0</v>
      </c>
      <c r="I157" s="762"/>
    </row>
    <row r="158" spans="2:11" ht="21" hidden="1" thickBot="1">
      <c r="B158" s="439" t="s">
        <v>34</v>
      </c>
      <c r="C158" s="592">
        <f>SUM(C149:C157)</f>
        <v>863772.22</v>
      </c>
      <c r="D158" s="763">
        <f>SUM(D149:E157)</f>
        <v>65929.73</v>
      </c>
      <c r="E158" s="764"/>
      <c r="F158" s="763">
        <f>SUM(F149:G157)</f>
        <v>33353.07</v>
      </c>
      <c r="G158" s="764"/>
      <c r="H158" s="763">
        <f>SUM(H149:I157)</f>
        <v>896348.88</v>
      </c>
      <c r="I158" s="764"/>
      <c r="J158" s="596">
        <f>+C158+D158-F158</f>
        <v>896348.88</v>
      </c>
      <c r="K158" s="596">
        <f>+J158-H158</f>
        <v>0</v>
      </c>
    </row>
    <row r="159" ht="21" hidden="1" thickTop="1"/>
    <row r="160" spans="1:9" ht="20.25" hidden="1">
      <c r="A160" s="756" t="s">
        <v>30</v>
      </c>
      <c r="B160" s="756"/>
      <c r="C160" s="756"/>
      <c r="D160" s="756"/>
      <c r="E160" s="756"/>
      <c r="F160" s="756"/>
      <c r="G160" s="756"/>
      <c r="H160" s="756"/>
      <c r="I160" s="756"/>
    </row>
    <row r="161" spans="1:9" ht="20.25" hidden="1">
      <c r="A161" s="756" t="s">
        <v>712</v>
      </c>
      <c r="B161" s="756"/>
      <c r="C161" s="756"/>
      <c r="D161" s="756"/>
      <c r="E161" s="756"/>
      <c r="F161" s="756"/>
      <c r="G161" s="756"/>
      <c r="H161" s="756"/>
      <c r="I161" s="756"/>
    </row>
    <row r="162" spans="1:9" ht="20.25" hidden="1">
      <c r="A162" s="756" t="s">
        <v>674</v>
      </c>
      <c r="B162" s="756"/>
      <c r="C162" s="756"/>
      <c r="D162" s="756"/>
      <c r="E162" s="756"/>
      <c r="F162" s="756"/>
      <c r="G162" s="756"/>
      <c r="H162" s="756"/>
      <c r="I162" s="756"/>
    </row>
    <row r="163" spans="1:9" ht="20.25" hidden="1">
      <c r="A163" s="756" t="s">
        <v>921</v>
      </c>
      <c r="B163" s="756"/>
      <c r="C163" s="756"/>
      <c r="D163" s="756"/>
      <c r="E163" s="756"/>
      <c r="F163" s="756"/>
      <c r="G163" s="756"/>
      <c r="H163" s="756"/>
      <c r="I163" s="756"/>
    </row>
    <row r="164" ht="20.25" hidden="1"/>
    <row r="165" ht="20.25" hidden="1"/>
    <row r="166" spans="1:9" ht="20.25" hidden="1">
      <c r="A166" s="775" t="s">
        <v>686</v>
      </c>
      <c r="B166" s="776"/>
      <c r="C166" s="590" t="s">
        <v>889</v>
      </c>
      <c r="D166" s="777" t="s">
        <v>675</v>
      </c>
      <c r="E166" s="778"/>
      <c r="F166" s="777" t="s">
        <v>676</v>
      </c>
      <c r="G166" s="778"/>
      <c r="H166" s="777" t="s">
        <v>687</v>
      </c>
      <c r="I166" s="778"/>
    </row>
    <row r="167" spans="1:9" ht="20.25" hidden="1">
      <c r="A167" s="431" t="s">
        <v>688</v>
      </c>
      <c r="C167" s="595">
        <v>21554.149999999998</v>
      </c>
      <c r="D167" s="773">
        <v>13.9</v>
      </c>
      <c r="E167" s="774"/>
      <c r="F167" s="773"/>
      <c r="G167" s="774"/>
      <c r="H167" s="761">
        <f aca="true" t="shared" si="5" ref="H167:H172">+C167+D167-F167</f>
        <v>21568.05</v>
      </c>
      <c r="I167" s="762"/>
    </row>
    <row r="168" spans="1:9" ht="20.25" hidden="1">
      <c r="A168" s="431" t="s">
        <v>714</v>
      </c>
      <c r="C168" s="591">
        <v>14690.73</v>
      </c>
      <c r="D168" s="771">
        <v>35740.82</v>
      </c>
      <c r="E168" s="772"/>
      <c r="F168" s="771">
        <v>14690.73</v>
      </c>
      <c r="G168" s="772"/>
      <c r="H168" s="761">
        <f t="shared" si="5"/>
        <v>35740.82000000001</v>
      </c>
      <c r="I168" s="762"/>
    </row>
    <row r="169" spans="1:9" ht="20.25" hidden="1">
      <c r="A169" s="431" t="s">
        <v>715</v>
      </c>
      <c r="C169" s="591">
        <v>16564</v>
      </c>
      <c r="D169" s="771">
        <v>16564</v>
      </c>
      <c r="E169" s="772"/>
      <c r="F169" s="771">
        <v>16564</v>
      </c>
      <c r="G169" s="772"/>
      <c r="H169" s="761">
        <f t="shared" si="5"/>
        <v>16564</v>
      </c>
      <c r="I169" s="762"/>
    </row>
    <row r="170" spans="1:9" ht="20.25" hidden="1">
      <c r="A170" s="431" t="s">
        <v>690</v>
      </c>
      <c r="C170" s="591">
        <v>843540</v>
      </c>
      <c r="D170" s="761">
        <v>84853</v>
      </c>
      <c r="E170" s="762"/>
      <c r="F170" s="771"/>
      <c r="G170" s="772"/>
      <c r="H170" s="761">
        <f t="shared" si="5"/>
        <v>928393</v>
      </c>
      <c r="I170" s="762"/>
    </row>
    <row r="171" spans="1:9" ht="20.25" hidden="1">
      <c r="A171" s="431" t="s">
        <v>901</v>
      </c>
      <c r="C171" s="591"/>
      <c r="D171" s="769"/>
      <c r="E171" s="770"/>
      <c r="F171" s="765"/>
      <c r="G171" s="766"/>
      <c r="H171" s="761">
        <f t="shared" si="5"/>
        <v>0</v>
      </c>
      <c r="I171" s="762"/>
    </row>
    <row r="172" spans="1:9" ht="20.25" hidden="1">
      <c r="A172" s="431" t="s">
        <v>908</v>
      </c>
      <c r="C172" s="591"/>
      <c r="D172" s="769"/>
      <c r="E172" s="770"/>
      <c r="F172" s="765"/>
      <c r="G172" s="766"/>
      <c r="H172" s="761">
        <f t="shared" si="5"/>
        <v>0</v>
      </c>
      <c r="I172" s="762"/>
    </row>
    <row r="173" spans="1:9" ht="20.25" hidden="1">
      <c r="A173" s="431" t="s">
        <v>915</v>
      </c>
      <c r="C173" s="591"/>
      <c r="D173" s="765"/>
      <c r="E173" s="766"/>
      <c r="F173" s="767"/>
      <c r="G173" s="768"/>
      <c r="H173" s="761">
        <f>+C173+D173-F173</f>
        <v>0</v>
      </c>
      <c r="I173" s="762"/>
    </row>
    <row r="174" spans="1:9" ht="20.25" hidden="1">
      <c r="A174" s="431" t="s">
        <v>916</v>
      </c>
      <c r="C174" s="591"/>
      <c r="D174" s="765"/>
      <c r="E174" s="766"/>
      <c r="F174" s="767"/>
      <c r="G174" s="768"/>
      <c r="H174" s="761">
        <f>+C174+D174-F174</f>
        <v>0</v>
      </c>
      <c r="I174" s="762"/>
    </row>
    <row r="175" spans="3:9" ht="20.25" hidden="1">
      <c r="C175" s="607">
        <v>0</v>
      </c>
      <c r="D175" s="779"/>
      <c r="E175" s="780"/>
      <c r="F175" s="757"/>
      <c r="G175" s="758"/>
      <c r="H175" s="761">
        <f>+C175+D175-F175</f>
        <v>0</v>
      </c>
      <c r="I175" s="762"/>
    </row>
    <row r="176" spans="2:11" ht="21" hidden="1" thickBot="1">
      <c r="B176" s="439" t="s">
        <v>34</v>
      </c>
      <c r="C176" s="592">
        <f>SUM(C167:C175)</f>
        <v>896348.88</v>
      </c>
      <c r="D176" s="763">
        <f>SUM(D167:E175)</f>
        <v>137171.72</v>
      </c>
      <c r="E176" s="764"/>
      <c r="F176" s="763">
        <f>SUM(F167:G175)</f>
        <v>31254.73</v>
      </c>
      <c r="G176" s="764"/>
      <c r="H176" s="763">
        <f>SUM(H167:I175)</f>
        <v>1002265.87</v>
      </c>
      <c r="I176" s="764"/>
      <c r="J176" s="596">
        <f>+C176+D176-F176</f>
        <v>1002265.87</v>
      </c>
      <c r="K176" s="596">
        <f>+J176-H176</f>
        <v>0</v>
      </c>
    </row>
    <row r="177" ht="21" hidden="1" thickTop="1"/>
    <row r="178" spans="1:9" ht="20.25" hidden="1">
      <c r="A178" s="756" t="s">
        <v>30</v>
      </c>
      <c r="B178" s="756"/>
      <c r="C178" s="756"/>
      <c r="D178" s="756"/>
      <c r="E178" s="756"/>
      <c r="F178" s="756"/>
      <c r="G178" s="756"/>
      <c r="H178" s="756"/>
      <c r="I178" s="756"/>
    </row>
    <row r="179" spans="1:9" ht="20.25" hidden="1">
      <c r="A179" s="756" t="s">
        <v>712</v>
      </c>
      <c r="B179" s="756"/>
      <c r="C179" s="756"/>
      <c r="D179" s="756"/>
      <c r="E179" s="756"/>
      <c r="F179" s="756"/>
      <c r="G179" s="756"/>
      <c r="H179" s="756"/>
      <c r="I179" s="756"/>
    </row>
    <row r="180" spans="1:9" ht="20.25" hidden="1">
      <c r="A180" s="756" t="s">
        <v>674</v>
      </c>
      <c r="B180" s="756"/>
      <c r="C180" s="756"/>
      <c r="D180" s="756"/>
      <c r="E180" s="756"/>
      <c r="F180" s="756"/>
      <c r="G180" s="756"/>
      <c r="H180" s="756"/>
      <c r="I180" s="756"/>
    </row>
    <row r="181" spans="1:9" ht="20.25" hidden="1">
      <c r="A181" s="756" t="s">
        <v>926</v>
      </c>
      <c r="B181" s="756"/>
      <c r="C181" s="756"/>
      <c r="D181" s="756"/>
      <c r="E181" s="756"/>
      <c r="F181" s="756"/>
      <c r="G181" s="756"/>
      <c r="H181" s="756"/>
      <c r="I181" s="756"/>
    </row>
    <row r="182" ht="20.25" hidden="1"/>
    <row r="183" ht="20.25" hidden="1"/>
    <row r="184" spans="1:9" ht="20.25" hidden="1">
      <c r="A184" s="775" t="s">
        <v>686</v>
      </c>
      <c r="B184" s="776"/>
      <c r="C184" s="590" t="s">
        <v>889</v>
      </c>
      <c r="D184" s="777" t="s">
        <v>675</v>
      </c>
      <c r="E184" s="778"/>
      <c r="F184" s="777" t="s">
        <v>676</v>
      </c>
      <c r="G184" s="778"/>
      <c r="H184" s="777" t="s">
        <v>687</v>
      </c>
      <c r="I184" s="778"/>
    </row>
    <row r="185" spans="1:9" ht="20.25" hidden="1">
      <c r="A185" s="431" t="s">
        <v>688</v>
      </c>
      <c r="C185" s="595">
        <v>21568.05</v>
      </c>
      <c r="D185" s="773">
        <v>206.8</v>
      </c>
      <c r="E185" s="774"/>
      <c r="F185" s="773"/>
      <c r="G185" s="774"/>
      <c r="H185" s="761">
        <f aca="true" t="shared" si="6" ref="H185:H190">+C185+D185-F185</f>
        <v>21774.85</v>
      </c>
      <c r="I185" s="762"/>
    </row>
    <row r="186" spans="1:9" ht="20.25" hidden="1">
      <c r="A186" s="431" t="s">
        <v>714</v>
      </c>
      <c r="C186" s="591">
        <v>35740.82000000001</v>
      </c>
      <c r="D186" s="771">
        <v>21807.56</v>
      </c>
      <c r="E186" s="772"/>
      <c r="F186" s="771">
        <v>35740.82</v>
      </c>
      <c r="G186" s="772"/>
      <c r="H186" s="761">
        <f t="shared" si="6"/>
        <v>21807.560000000005</v>
      </c>
      <c r="I186" s="762"/>
    </row>
    <row r="187" spans="1:9" ht="20.25" hidden="1">
      <c r="A187" s="431" t="s">
        <v>715</v>
      </c>
      <c r="C187" s="591">
        <v>16564</v>
      </c>
      <c r="D187" s="771">
        <v>16564</v>
      </c>
      <c r="E187" s="772"/>
      <c r="F187" s="771">
        <v>16564</v>
      </c>
      <c r="G187" s="772"/>
      <c r="H187" s="761">
        <f t="shared" si="6"/>
        <v>16564</v>
      </c>
      <c r="I187" s="762"/>
    </row>
    <row r="188" spans="1:9" ht="20.25" hidden="1">
      <c r="A188" s="431" t="s">
        <v>690</v>
      </c>
      <c r="C188" s="591">
        <v>928393</v>
      </c>
      <c r="D188" s="761">
        <v>100725</v>
      </c>
      <c r="E188" s="762"/>
      <c r="F188" s="771">
        <v>13500</v>
      </c>
      <c r="G188" s="772"/>
      <c r="H188" s="761">
        <f t="shared" si="6"/>
        <v>1015618</v>
      </c>
      <c r="I188" s="762"/>
    </row>
    <row r="189" spans="1:9" ht="20.25" hidden="1">
      <c r="A189" s="431" t="s">
        <v>901</v>
      </c>
      <c r="C189" s="591"/>
      <c r="D189" s="769"/>
      <c r="E189" s="770"/>
      <c r="F189" s="765"/>
      <c r="G189" s="766"/>
      <c r="H189" s="761">
        <f t="shared" si="6"/>
        <v>0</v>
      </c>
      <c r="I189" s="762"/>
    </row>
    <row r="190" spans="1:9" ht="20.25" hidden="1">
      <c r="A190" s="431" t="s">
        <v>908</v>
      </c>
      <c r="C190" s="591"/>
      <c r="D190" s="769"/>
      <c r="E190" s="770"/>
      <c r="F190" s="765"/>
      <c r="G190" s="766"/>
      <c r="H190" s="761">
        <f t="shared" si="6"/>
        <v>0</v>
      </c>
      <c r="I190" s="762"/>
    </row>
    <row r="191" spans="1:9" ht="20.25" hidden="1">
      <c r="A191" s="431" t="s">
        <v>915</v>
      </c>
      <c r="C191" s="591"/>
      <c r="D191" s="765"/>
      <c r="E191" s="766"/>
      <c r="F191" s="767"/>
      <c r="G191" s="768"/>
      <c r="H191" s="761">
        <f>+C191+D191-F191</f>
        <v>0</v>
      </c>
      <c r="I191" s="762"/>
    </row>
    <row r="192" spans="1:9" ht="20.25" hidden="1">
      <c r="A192" s="431" t="s">
        <v>916</v>
      </c>
      <c r="C192" s="591"/>
      <c r="D192" s="765"/>
      <c r="E192" s="766"/>
      <c r="F192" s="767"/>
      <c r="G192" s="768"/>
      <c r="H192" s="761">
        <f>+C192+D192-F192</f>
        <v>0</v>
      </c>
      <c r="I192" s="762"/>
    </row>
    <row r="193" spans="3:9" ht="20.25" hidden="1">
      <c r="C193" s="607">
        <v>0</v>
      </c>
      <c r="D193" s="779"/>
      <c r="E193" s="780"/>
      <c r="F193" s="757"/>
      <c r="G193" s="758"/>
      <c r="H193" s="761">
        <f>+C193+D193-F193</f>
        <v>0</v>
      </c>
      <c r="I193" s="762"/>
    </row>
    <row r="194" spans="2:11" ht="21" hidden="1" thickBot="1">
      <c r="B194" s="439" t="s">
        <v>34</v>
      </c>
      <c r="C194" s="592">
        <f>SUM(C185:C193)</f>
        <v>1002265.87</v>
      </c>
      <c r="D194" s="763">
        <f>SUM(D185:E193)</f>
        <v>139303.36</v>
      </c>
      <c r="E194" s="764"/>
      <c r="F194" s="763">
        <f>SUM(F185:G193)</f>
        <v>65804.82</v>
      </c>
      <c r="G194" s="764"/>
      <c r="H194" s="763">
        <f>SUM(H185:I193)</f>
        <v>1075764.41</v>
      </c>
      <c r="I194" s="764"/>
      <c r="J194" s="596">
        <f>+C194+D194-F194</f>
        <v>1075764.41</v>
      </c>
      <c r="K194" s="596">
        <f>+J194-H194</f>
        <v>0</v>
      </c>
    </row>
    <row r="195" ht="21" hidden="1" thickTop="1"/>
    <row r="196" ht="20.25" hidden="1"/>
    <row r="197" spans="1:9" ht="20.25" hidden="1">
      <c r="A197" s="756" t="s">
        <v>30</v>
      </c>
      <c r="B197" s="756"/>
      <c r="C197" s="756"/>
      <c r="D197" s="756"/>
      <c r="E197" s="756"/>
      <c r="F197" s="756"/>
      <c r="G197" s="756"/>
      <c r="H197" s="756"/>
      <c r="I197" s="756"/>
    </row>
    <row r="198" spans="1:9" ht="20.25" hidden="1">
      <c r="A198" s="756" t="s">
        <v>712</v>
      </c>
      <c r="B198" s="756"/>
      <c r="C198" s="756"/>
      <c r="D198" s="756"/>
      <c r="E198" s="756"/>
      <c r="F198" s="756"/>
      <c r="G198" s="756"/>
      <c r="H198" s="756"/>
      <c r="I198" s="756"/>
    </row>
    <row r="199" spans="1:9" ht="20.25" hidden="1">
      <c r="A199" s="756" t="s">
        <v>674</v>
      </c>
      <c r="B199" s="756"/>
      <c r="C199" s="756"/>
      <c r="D199" s="756"/>
      <c r="E199" s="756"/>
      <c r="F199" s="756"/>
      <c r="G199" s="756"/>
      <c r="H199" s="756"/>
      <c r="I199" s="756"/>
    </row>
    <row r="200" spans="1:9" ht="20.25" hidden="1">
      <c r="A200" s="756" t="s">
        <v>928</v>
      </c>
      <c r="B200" s="756"/>
      <c r="C200" s="756"/>
      <c r="D200" s="756"/>
      <c r="E200" s="756"/>
      <c r="F200" s="756"/>
      <c r="G200" s="756"/>
      <c r="H200" s="756"/>
      <c r="I200" s="756"/>
    </row>
    <row r="201" ht="20.25" hidden="1"/>
    <row r="202" ht="20.25" hidden="1"/>
    <row r="203" spans="1:9" ht="20.25" hidden="1">
      <c r="A203" s="775" t="s">
        <v>686</v>
      </c>
      <c r="B203" s="776"/>
      <c r="C203" s="590" t="s">
        <v>889</v>
      </c>
      <c r="D203" s="777" t="s">
        <v>675</v>
      </c>
      <c r="E203" s="778"/>
      <c r="F203" s="777" t="s">
        <v>676</v>
      </c>
      <c r="G203" s="778"/>
      <c r="H203" s="777" t="s">
        <v>687</v>
      </c>
      <c r="I203" s="778"/>
    </row>
    <row r="204" spans="1:9" ht="20.25" hidden="1">
      <c r="A204" s="431" t="s">
        <v>688</v>
      </c>
      <c r="C204" s="595">
        <v>21774.85</v>
      </c>
      <c r="D204" s="773">
        <v>62.45</v>
      </c>
      <c r="E204" s="774"/>
      <c r="F204" s="773">
        <v>0</v>
      </c>
      <c r="G204" s="774"/>
      <c r="H204" s="761">
        <f aca="true" t="shared" si="7" ref="H204:H212">+C204+D204-F204</f>
        <v>21837.3</v>
      </c>
      <c r="I204" s="762"/>
    </row>
    <row r="205" spans="1:9" ht="20.25" hidden="1">
      <c r="A205" s="431" t="s">
        <v>714</v>
      </c>
      <c r="C205" s="591">
        <v>21807.560000000005</v>
      </c>
      <c r="D205" s="771">
        <v>31813.43</v>
      </c>
      <c r="E205" s="772"/>
      <c r="F205" s="771">
        <v>21807.56</v>
      </c>
      <c r="G205" s="772"/>
      <c r="H205" s="761">
        <f t="shared" si="7"/>
        <v>31813.430000000004</v>
      </c>
      <c r="I205" s="762"/>
    </row>
    <row r="206" spans="1:9" ht="20.25" hidden="1">
      <c r="A206" s="431" t="s">
        <v>715</v>
      </c>
      <c r="C206" s="591">
        <v>16564</v>
      </c>
      <c r="D206" s="771">
        <v>15572</v>
      </c>
      <c r="E206" s="772"/>
      <c r="F206" s="771">
        <v>16564</v>
      </c>
      <c r="G206" s="772"/>
      <c r="H206" s="761">
        <f t="shared" si="7"/>
        <v>15572</v>
      </c>
      <c r="I206" s="762"/>
    </row>
    <row r="207" spans="1:9" ht="20.25" hidden="1">
      <c r="A207" s="431" t="s">
        <v>690</v>
      </c>
      <c r="C207" s="591">
        <v>1015618</v>
      </c>
      <c r="D207" s="761">
        <v>54915</v>
      </c>
      <c r="E207" s="762"/>
      <c r="F207" s="771">
        <v>27371</v>
      </c>
      <c r="G207" s="772"/>
      <c r="H207" s="761">
        <f t="shared" si="7"/>
        <v>1043162</v>
      </c>
      <c r="I207" s="762"/>
    </row>
    <row r="208" spans="1:9" ht="20.25" hidden="1">
      <c r="A208" s="431" t="s">
        <v>901</v>
      </c>
      <c r="C208" s="591"/>
      <c r="D208" s="769"/>
      <c r="E208" s="770"/>
      <c r="F208" s="765"/>
      <c r="G208" s="766"/>
      <c r="H208" s="761">
        <f t="shared" si="7"/>
        <v>0</v>
      </c>
      <c r="I208" s="762"/>
    </row>
    <row r="209" spans="1:9" ht="20.25" hidden="1">
      <c r="A209" s="431" t="s">
        <v>908</v>
      </c>
      <c r="C209" s="591"/>
      <c r="D209" s="769">
        <v>470</v>
      </c>
      <c r="E209" s="770"/>
      <c r="F209" s="765">
        <v>470</v>
      </c>
      <c r="G209" s="766"/>
      <c r="H209" s="761">
        <f t="shared" si="7"/>
        <v>0</v>
      </c>
      <c r="I209" s="762"/>
    </row>
    <row r="210" spans="1:9" ht="20.25" hidden="1">
      <c r="A210" s="431" t="s">
        <v>915</v>
      </c>
      <c r="C210" s="591"/>
      <c r="D210" s="765"/>
      <c r="E210" s="766"/>
      <c r="F210" s="767"/>
      <c r="G210" s="768"/>
      <c r="H210" s="761">
        <f t="shared" si="7"/>
        <v>0</v>
      </c>
      <c r="I210" s="762"/>
    </row>
    <row r="211" spans="1:9" ht="20.25" hidden="1">
      <c r="A211" s="431" t="s">
        <v>916</v>
      </c>
      <c r="C211" s="591"/>
      <c r="D211" s="765"/>
      <c r="E211" s="766"/>
      <c r="F211" s="767"/>
      <c r="G211" s="768"/>
      <c r="H211" s="761">
        <f t="shared" si="7"/>
        <v>0</v>
      </c>
      <c r="I211" s="762"/>
    </row>
    <row r="212" spans="3:9" ht="20.25" hidden="1">
      <c r="C212" s="607">
        <v>0</v>
      </c>
      <c r="D212" s="779"/>
      <c r="E212" s="780"/>
      <c r="F212" s="757"/>
      <c r="G212" s="758"/>
      <c r="H212" s="761">
        <f t="shared" si="7"/>
        <v>0</v>
      </c>
      <c r="I212" s="762"/>
    </row>
    <row r="213" spans="2:11" ht="21" hidden="1" thickBot="1">
      <c r="B213" s="439" t="s">
        <v>34</v>
      </c>
      <c r="C213" s="592">
        <f>SUM(C204:C212)</f>
        <v>1075764.41</v>
      </c>
      <c r="D213" s="763">
        <f>SUM(D204:E212)</f>
        <v>102832.88</v>
      </c>
      <c r="E213" s="764"/>
      <c r="F213" s="763">
        <f>SUM(F204:G212)</f>
        <v>66212.56</v>
      </c>
      <c r="G213" s="764"/>
      <c r="H213" s="763">
        <f>SUM(H204:I212)</f>
        <v>1112384.73</v>
      </c>
      <c r="I213" s="764"/>
      <c r="J213" s="596">
        <f>+C213+D213-F213</f>
        <v>1112384.73</v>
      </c>
      <c r="K213" s="596">
        <f>+J213-H213</f>
        <v>0</v>
      </c>
    </row>
    <row r="214" ht="21" hidden="1" thickTop="1"/>
    <row r="215" ht="20.25" hidden="1"/>
    <row r="216" spans="1:9" ht="20.25" hidden="1">
      <c r="A216" s="756" t="s">
        <v>30</v>
      </c>
      <c r="B216" s="756"/>
      <c r="C216" s="756"/>
      <c r="D216" s="756"/>
      <c r="E216" s="756"/>
      <c r="F216" s="756"/>
      <c r="G216" s="756"/>
      <c r="H216" s="756"/>
      <c r="I216" s="756"/>
    </row>
    <row r="217" spans="1:9" ht="20.25" hidden="1">
      <c r="A217" s="756" t="s">
        <v>712</v>
      </c>
      <c r="B217" s="756"/>
      <c r="C217" s="756"/>
      <c r="D217" s="756"/>
      <c r="E217" s="756"/>
      <c r="F217" s="756"/>
      <c r="G217" s="756"/>
      <c r="H217" s="756"/>
      <c r="I217" s="756"/>
    </row>
    <row r="218" spans="1:9" ht="20.25" hidden="1">
      <c r="A218" s="756" t="s">
        <v>674</v>
      </c>
      <c r="B218" s="756"/>
      <c r="C218" s="756"/>
      <c r="D218" s="756"/>
      <c r="E218" s="756"/>
      <c r="F218" s="756"/>
      <c r="G218" s="756"/>
      <c r="H218" s="756"/>
      <c r="I218" s="756"/>
    </row>
    <row r="219" spans="1:9" ht="20.25" hidden="1">
      <c r="A219" s="756" t="s">
        <v>930</v>
      </c>
      <c r="B219" s="756"/>
      <c r="C219" s="756"/>
      <c r="D219" s="756"/>
      <c r="E219" s="756"/>
      <c r="F219" s="756"/>
      <c r="G219" s="756"/>
      <c r="H219" s="756"/>
      <c r="I219" s="756"/>
    </row>
    <row r="220" ht="20.25" hidden="1"/>
    <row r="221" ht="20.25" hidden="1"/>
    <row r="222" spans="1:9" ht="20.25" hidden="1">
      <c r="A222" s="775" t="s">
        <v>686</v>
      </c>
      <c r="B222" s="776"/>
      <c r="C222" s="590" t="s">
        <v>889</v>
      </c>
      <c r="D222" s="777" t="s">
        <v>675</v>
      </c>
      <c r="E222" s="778"/>
      <c r="F222" s="777" t="s">
        <v>676</v>
      </c>
      <c r="G222" s="778"/>
      <c r="H222" s="777" t="s">
        <v>687</v>
      </c>
      <c r="I222" s="778"/>
    </row>
    <row r="223" spans="1:10" ht="20.25" hidden="1">
      <c r="A223" s="431" t="s">
        <v>688</v>
      </c>
      <c r="C223" s="595">
        <v>21837.3</v>
      </c>
      <c r="D223" s="773">
        <v>209</v>
      </c>
      <c r="E223" s="774"/>
      <c r="F223" s="773"/>
      <c r="G223" s="774"/>
      <c r="H223" s="761">
        <f aca="true" t="shared" si="8" ref="H223:H230">+C223+D223-F223</f>
        <v>22046.3</v>
      </c>
      <c r="I223" s="762"/>
      <c r="J223" s="431">
        <v>21837.3</v>
      </c>
    </row>
    <row r="224" spans="1:10" ht="20.25" hidden="1">
      <c r="A224" s="431" t="s">
        <v>714</v>
      </c>
      <c r="C224" s="591">
        <v>31813.430000000004</v>
      </c>
      <c r="D224" s="771">
        <v>33853.56</v>
      </c>
      <c r="E224" s="772"/>
      <c r="F224" s="771">
        <v>31813.43</v>
      </c>
      <c r="G224" s="772"/>
      <c r="H224" s="761">
        <f t="shared" si="8"/>
        <v>33853.560000000005</v>
      </c>
      <c r="I224" s="762"/>
      <c r="J224" s="431">
        <v>31813.430000000004</v>
      </c>
    </row>
    <row r="225" spans="1:10" ht="20.25" hidden="1">
      <c r="A225" s="431" t="s">
        <v>715</v>
      </c>
      <c r="C225" s="591">
        <v>15572</v>
      </c>
      <c r="D225" s="771">
        <v>15134</v>
      </c>
      <c r="E225" s="772"/>
      <c r="F225" s="771">
        <v>15572</v>
      </c>
      <c r="G225" s="772"/>
      <c r="H225" s="761">
        <f t="shared" si="8"/>
        <v>15134</v>
      </c>
      <c r="I225" s="762"/>
      <c r="J225" s="431">
        <v>15572</v>
      </c>
    </row>
    <row r="226" spans="1:10" ht="20.25" hidden="1">
      <c r="A226" s="431" t="s">
        <v>690</v>
      </c>
      <c r="C226" s="591">
        <v>1043162</v>
      </c>
      <c r="D226" s="761">
        <v>97545</v>
      </c>
      <c r="E226" s="762"/>
      <c r="F226" s="771">
        <v>4900</v>
      </c>
      <c r="G226" s="772"/>
      <c r="H226" s="761">
        <f t="shared" si="8"/>
        <v>1135807</v>
      </c>
      <c r="I226" s="762"/>
      <c r="J226" s="431">
        <v>1043162</v>
      </c>
    </row>
    <row r="227" spans="1:9" ht="20.25" hidden="1">
      <c r="A227" s="431" t="s">
        <v>901</v>
      </c>
      <c r="C227" s="591"/>
      <c r="D227" s="769"/>
      <c r="E227" s="770"/>
      <c r="F227" s="765"/>
      <c r="G227" s="766"/>
      <c r="H227" s="761">
        <f t="shared" si="8"/>
        <v>0</v>
      </c>
      <c r="I227" s="762"/>
    </row>
    <row r="228" spans="1:9" ht="20.25" hidden="1">
      <c r="A228" s="431" t="s">
        <v>908</v>
      </c>
      <c r="C228" s="591"/>
      <c r="D228" s="769">
        <v>415</v>
      </c>
      <c r="E228" s="770"/>
      <c r="F228" s="765">
        <v>415</v>
      </c>
      <c r="G228" s="766"/>
      <c r="H228" s="761">
        <f t="shared" si="8"/>
        <v>0</v>
      </c>
      <c r="I228" s="762"/>
    </row>
    <row r="229" spans="1:9" ht="20.25" hidden="1">
      <c r="A229" s="431" t="s">
        <v>915</v>
      </c>
      <c r="C229" s="591"/>
      <c r="D229" s="765"/>
      <c r="E229" s="766"/>
      <c r="F229" s="767"/>
      <c r="G229" s="768"/>
      <c r="H229" s="761">
        <f t="shared" si="8"/>
        <v>0</v>
      </c>
      <c r="I229" s="762"/>
    </row>
    <row r="230" spans="1:9" ht="20.25" hidden="1">
      <c r="A230" s="431" t="s">
        <v>916</v>
      </c>
      <c r="C230" s="591"/>
      <c r="D230" s="765"/>
      <c r="E230" s="766"/>
      <c r="F230" s="767"/>
      <c r="G230" s="768"/>
      <c r="H230" s="761">
        <f t="shared" si="8"/>
        <v>0</v>
      </c>
      <c r="I230" s="762"/>
    </row>
    <row r="231" spans="1:9" ht="20.25" hidden="1">
      <c r="A231" s="431" t="s">
        <v>933</v>
      </c>
      <c r="C231" s="591"/>
      <c r="D231" s="757">
        <v>33330</v>
      </c>
      <c r="E231" s="758"/>
      <c r="F231" s="759"/>
      <c r="G231" s="760"/>
      <c r="H231" s="761">
        <f>+C231+D231-F231</f>
        <v>33330</v>
      </c>
      <c r="I231" s="762"/>
    </row>
    <row r="232" spans="2:11" ht="21" hidden="1" thickBot="1">
      <c r="B232" s="439" t="s">
        <v>34</v>
      </c>
      <c r="C232" s="592">
        <f>SUM(C223:C231)</f>
        <v>1112384.73</v>
      </c>
      <c r="D232" s="763">
        <f>SUM(D223:E231)</f>
        <v>180486.56</v>
      </c>
      <c r="E232" s="764"/>
      <c r="F232" s="763">
        <f>SUM(F223:G231)</f>
        <v>52700.43</v>
      </c>
      <c r="G232" s="764"/>
      <c r="H232" s="763">
        <f>SUM(H223:I231)</f>
        <v>1240170.86</v>
      </c>
      <c r="I232" s="764"/>
      <c r="J232" s="596">
        <f>+C232+D232-F232</f>
        <v>1240170.86</v>
      </c>
      <c r="K232" s="596">
        <f>+J232-H232</f>
        <v>0</v>
      </c>
    </row>
    <row r="233" ht="20.25" hidden="1"/>
    <row r="234" spans="1:9" ht="20.25" hidden="1">
      <c r="A234" s="756" t="s">
        <v>30</v>
      </c>
      <c r="B234" s="756"/>
      <c r="C234" s="756"/>
      <c r="D234" s="756"/>
      <c r="E234" s="756"/>
      <c r="F234" s="756"/>
      <c r="G234" s="756"/>
      <c r="H234" s="756"/>
      <c r="I234" s="756"/>
    </row>
    <row r="235" spans="1:9" ht="20.25" hidden="1">
      <c r="A235" s="756" t="s">
        <v>712</v>
      </c>
      <c r="B235" s="756"/>
      <c r="C235" s="756"/>
      <c r="D235" s="756"/>
      <c r="E235" s="756"/>
      <c r="F235" s="756"/>
      <c r="G235" s="756"/>
      <c r="H235" s="756"/>
      <c r="I235" s="756"/>
    </row>
    <row r="236" spans="1:9" ht="20.25" hidden="1">
      <c r="A236" s="756" t="s">
        <v>674</v>
      </c>
      <c r="B236" s="756"/>
      <c r="C236" s="756"/>
      <c r="D236" s="756"/>
      <c r="E236" s="756"/>
      <c r="F236" s="756"/>
      <c r="G236" s="756"/>
      <c r="H236" s="756"/>
      <c r="I236" s="756"/>
    </row>
    <row r="237" spans="1:9" ht="20.25" hidden="1">
      <c r="A237" s="756" t="s">
        <v>935</v>
      </c>
      <c r="B237" s="756"/>
      <c r="C237" s="756"/>
      <c r="D237" s="756"/>
      <c r="E237" s="756"/>
      <c r="F237" s="756"/>
      <c r="G237" s="756"/>
      <c r="H237" s="756"/>
      <c r="I237" s="756"/>
    </row>
    <row r="238" ht="20.25" hidden="1"/>
    <row r="239" ht="20.25" hidden="1"/>
    <row r="240" spans="1:9" ht="20.25" hidden="1">
      <c r="A240" s="775" t="s">
        <v>686</v>
      </c>
      <c r="B240" s="776"/>
      <c r="C240" s="590" t="s">
        <v>889</v>
      </c>
      <c r="D240" s="777" t="s">
        <v>675</v>
      </c>
      <c r="E240" s="778"/>
      <c r="F240" s="777" t="s">
        <v>676</v>
      </c>
      <c r="G240" s="778"/>
      <c r="H240" s="777" t="s">
        <v>687</v>
      </c>
      <c r="I240" s="778"/>
    </row>
    <row r="241" spans="1:10" ht="20.25" hidden="1">
      <c r="A241" s="431" t="s">
        <v>688</v>
      </c>
      <c r="C241" s="595">
        <v>22046.3</v>
      </c>
      <c r="D241" s="773">
        <v>19.65</v>
      </c>
      <c r="E241" s="774"/>
      <c r="F241" s="773"/>
      <c r="G241" s="774"/>
      <c r="H241" s="761">
        <f aca="true" t="shared" si="9" ref="H241:H248">+C241+D241-F241</f>
        <v>22065.95</v>
      </c>
      <c r="I241" s="762"/>
      <c r="J241" s="431">
        <v>22046.3</v>
      </c>
    </row>
    <row r="242" spans="1:10" ht="20.25" hidden="1">
      <c r="A242" s="431" t="s">
        <v>714</v>
      </c>
      <c r="C242" s="591">
        <v>33853.560000000005</v>
      </c>
      <c r="D242" s="771">
        <v>10100.53</v>
      </c>
      <c r="E242" s="772"/>
      <c r="F242" s="771">
        <v>33853.56</v>
      </c>
      <c r="G242" s="772"/>
      <c r="H242" s="761">
        <f t="shared" si="9"/>
        <v>10100.530000000006</v>
      </c>
      <c r="I242" s="762"/>
      <c r="J242" s="431">
        <v>33853.560000000005</v>
      </c>
    </row>
    <row r="243" spans="1:10" ht="20.25" hidden="1">
      <c r="A243" s="431" t="s">
        <v>715</v>
      </c>
      <c r="C243" s="591">
        <v>15134</v>
      </c>
      <c r="D243" s="771">
        <v>20926</v>
      </c>
      <c r="E243" s="772"/>
      <c r="F243" s="771">
        <v>15134</v>
      </c>
      <c r="G243" s="772"/>
      <c r="H243" s="761">
        <f t="shared" si="9"/>
        <v>20926</v>
      </c>
      <c r="I243" s="762"/>
      <c r="J243" s="431">
        <v>15134</v>
      </c>
    </row>
    <row r="244" spans="1:10" ht="20.25" hidden="1">
      <c r="A244" s="431" t="s">
        <v>690</v>
      </c>
      <c r="C244" s="591">
        <v>1135807</v>
      </c>
      <c r="D244" s="761">
        <v>55950</v>
      </c>
      <c r="E244" s="762"/>
      <c r="F244" s="771">
        <v>0</v>
      </c>
      <c r="G244" s="772"/>
      <c r="H244" s="761">
        <f t="shared" si="9"/>
        <v>1191757</v>
      </c>
      <c r="I244" s="762"/>
      <c r="J244" s="431">
        <v>1135807</v>
      </c>
    </row>
    <row r="245" spans="1:10" ht="20.25" hidden="1">
      <c r="A245" s="431" t="s">
        <v>901</v>
      </c>
      <c r="C245" s="591">
        <v>0</v>
      </c>
      <c r="D245" s="769"/>
      <c r="E245" s="770"/>
      <c r="F245" s="765"/>
      <c r="G245" s="766"/>
      <c r="H245" s="761">
        <f t="shared" si="9"/>
        <v>0</v>
      </c>
      <c r="I245" s="762"/>
      <c r="J245" s="431">
        <v>0</v>
      </c>
    </row>
    <row r="246" spans="1:10" ht="20.25" hidden="1">
      <c r="A246" s="431" t="s">
        <v>908</v>
      </c>
      <c r="C246" s="591">
        <v>0</v>
      </c>
      <c r="D246" s="769">
        <v>6265</v>
      </c>
      <c r="E246" s="770"/>
      <c r="F246" s="765">
        <v>6065</v>
      </c>
      <c r="G246" s="766"/>
      <c r="H246" s="761">
        <f t="shared" si="9"/>
        <v>200</v>
      </c>
      <c r="I246" s="762"/>
      <c r="J246" s="431">
        <v>0</v>
      </c>
    </row>
    <row r="247" spans="1:10" ht="20.25" hidden="1">
      <c r="A247" s="431" t="s">
        <v>915</v>
      </c>
      <c r="C247" s="591">
        <v>0</v>
      </c>
      <c r="D247" s="765"/>
      <c r="E247" s="766"/>
      <c r="F247" s="767"/>
      <c r="G247" s="768"/>
      <c r="H247" s="761">
        <f t="shared" si="9"/>
        <v>0</v>
      </c>
      <c r="I247" s="762"/>
      <c r="J247" s="431">
        <v>0</v>
      </c>
    </row>
    <row r="248" spans="1:10" ht="20.25" hidden="1">
      <c r="A248" s="431" t="s">
        <v>916</v>
      </c>
      <c r="C248" s="591">
        <v>0</v>
      </c>
      <c r="D248" s="765"/>
      <c r="E248" s="766"/>
      <c r="F248" s="767"/>
      <c r="G248" s="768"/>
      <c r="H248" s="761">
        <f t="shared" si="9"/>
        <v>0</v>
      </c>
      <c r="I248" s="762"/>
      <c r="J248" s="431">
        <v>0</v>
      </c>
    </row>
    <row r="249" spans="1:10" ht="20.25" hidden="1">
      <c r="A249" s="431" t="s">
        <v>933</v>
      </c>
      <c r="C249" s="591">
        <v>33330</v>
      </c>
      <c r="D249" s="757"/>
      <c r="E249" s="758"/>
      <c r="F249" s="759"/>
      <c r="G249" s="760"/>
      <c r="H249" s="761">
        <f>+C249+D249-F249</f>
        <v>33330</v>
      </c>
      <c r="I249" s="762"/>
      <c r="J249" s="431">
        <v>33330</v>
      </c>
    </row>
    <row r="250" spans="2:11" ht="21" hidden="1" thickBot="1">
      <c r="B250" s="439" t="s">
        <v>34</v>
      </c>
      <c r="C250" s="592">
        <f>SUM(C241:C249)</f>
        <v>1240170.86</v>
      </c>
      <c r="D250" s="763">
        <f>SUM(D241:E249)</f>
        <v>93261.18</v>
      </c>
      <c r="E250" s="764"/>
      <c r="F250" s="763">
        <f>SUM(F241:G249)</f>
        <v>55052.56</v>
      </c>
      <c r="G250" s="764"/>
      <c r="H250" s="763">
        <f>SUM(H241:I249)</f>
        <v>1278379.48</v>
      </c>
      <c r="I250" s="764"/>
      <c r="J250" s="596">
        <f>+C250+D250-F250</f>
        <v>1278379.48</v>
      </c>
      <c r="K250" s="596">
        <f>+J250-H250</f>
        <v>0</v>
      </c>
    </row>
    <row r="251" ht="21" hidden="1" thickTop="1">
      <c r="C251" s="596">
        <f>+C250-H250</f>
        <v>-38208.61999999988</v>
      </c>
    </row>
    <row r="253" spans="1:9" ht="20.25">
      <c r="A253" s="756" t="s">
        <v>30</v>
      </c>
      <c r="B253" s="756"/>
      <c r="C253" s="756"/>
      <c r="D253" s="756"/>
      <c r="E253" s="756"/>
      <c r="F253" s="756"/>
      <c r="G253" s="756"/>
      <c r="H253" s="756"/>
      <c r="I253" s="756"/>
    </row>
    <row r="254" spans="1:9" ht="20.25">
      <c r="A254" s="756" t="s">
        <v>712</v>
      </c>
      <c r="B254" s="756"/>
      <c r="C254" s="756"/>
      <c r="D254" s="756"/>
      <c r="E254" s="756"/>
      <c r="F254" s="756"/>
      <c r="G254" s="756"/>
      <c r="H254" s="756"/>
      <c r="I254" s="756"/>
    </row>
    <row r="255" spans="1:9" ht="20.25">
      <c r="A255" s="756" t="s">
        <v>674</v>
      </c>
      <c r="B255" s="756"/>
      <c r="C255" s="756"/>
      <c r="D255" s="756"/>
      <c r="E255" s="756"/>
      <c r="F255" s="756"/>
      <c r="G255" s="756"/>
      <c r="H255" s="756"/>
      <c r="I255" s="756"/>
    </row>
    <row r="256" spans="1:9" ht="20.25">
      <c r="A256" s="756" t="s">
        <v>938</v>
      </c>
      <c r="B256" s="756"/>
      <c r="C256" s="756"/>
      <c r="D256" s="756"/>
      <c r="E256" s="756"/>
      <c r="F256" s="756"/>
      <c r="G256" s="756"/>
      <c r="H256" s="756"/>
      <c r="I256" s="756"/>
    </row>
    <row r="259" spans="1:9" ht="20.25">
      <c r="A259" s="775" t="s">
        <v>686</v>
      </c>
      <c r="B259" s="776"/>
      <c r="C259" s="590" t="s">
        <v>889</v>
      </c>
      <c r="D259" s="777" t="s">
        <v>675</v>
      </c>
      <c r="E259" s="778"/>
      <c r="F259" s="777" t="s">
        <v>676</v>
      </c>
      <c r="G259" s="778"/>
      <c r="H259" s="777" t="s">
        <v>687</v>
      </c>
      <c r="I259" s="778"/>
    </row>
    <row r="260" spans="1:10" ht="20.25">
      <c r="A260" s="431" t="s">
        <v>688</v>
      </c>
      <c r="C260" s="595">
        <v>22065.95</v>
      </c>
      <c r="D260" s="773">
        <v>365.4</v>
      </c>
      <c r="E260" s="774"/>
      <c r="F260" s="773">
        <v>6750</v>
      </c>
      <c r="G260" s="774"/>
      <c r="H260" s="761">
        <f aca="true" t="shared" si="10" ref="H260:H267">+C260+D260-F260</f>
        <v>15681.350000000002</v>
      </c>
      <c r="I260" s="762"/>
      <c r="J260" s="620">
        <v>22065.95</v>
      </c>
    </row>
    <row r="261" spans="1:10" ht="20.25">
      <c r="A261" s="431" t="s">
        <v>714</v>
      </c>
      <c r="C261" s="591">
        <v>10100.530000000006</v>
      </c>
      <c r="D261" s="771">
        <v>34487.48</v>
      </c>
      <c r="E261" s="772"/>
      <c r="F261" s="771">
        <v>44588.01</v>
      </c>
      <c r="G261" s="772"/>
      <c r="H261" s="761">
        <f t="shared" si="10"/>
        <v>0</v>
      </c>
      <c r="I261" s="762"/>
      <c r="J261" s="620">
        <v>10100.530000000006</v>
      </c>
    </row>
    <row r="262" spans="1:10" ht="20.25">
      <c r="A262" s="431" t="s">
        <v>715</v>
      </c>
      <c r="C262" s="591">
        <v>20926</v>
      </c>
      <c r="D262" s="771">
        <v>27163</v>
      </c>
      <c r="E262" s="772"/>
      <c r="F262" s="771">
        <v>48089</v>
      </c>
      <c r="G262" s="772"/>
      <c r="H262" s="761">
        <f t="shared" si="10"/>
        <v>0</v>
      </c>
      <c r="I262" s="762"/>
      <c r="J262" s="620">
        <v>20926</v>
      </c>
    </row>
    <row r="263" spans="1:10" ht="20.25">
      <c r="A263" s="431" t="s">
        <v>690</v>
      </c>
      <c r="C263" s="591">
        <v>1191757</v>
      </c>
      <c r="D263" s="761">
        <v>14160</v>
      </c>
      <c r="E263" s="762"/>
      <c r="F263" s="771">
        <v>52290</v>
      </c>
      <c r="G263" s="772"/>
      <c r="H263" s="761">
        <f t="shared" si="10"/>
        <v>1153627</v>
      </c>
      <c r="I263" s="762"/>
      <c r="J263" s="620">
        <v>1191757</v>
      </c>
    </row>
    <row r="264" spans="1:10" ht="20.25">
      <c r="A264" s="431" t="s">
        <v>901</v>
      </c>
      <c r="C264" s="591">
        <v>0</v>
      </c>
      <c r="D264" s="769"/>
      <c r="E264" s="770"/>
      <c r="F264" s="765"/>
      <c r="G264" s="766"/>
      <c r="H264" s="761">
        <f t="shared" si="10"/>
        <v>0</v>
      </c>
      <c r="I264" s="762"/>
      <c r="J264" s="620">
        <v>0</v>
      </c>
    </row>
    <row r="265" spans="1:10" ht="20.25">
      <c r="A265" s="431" t="s">
        <v>908</v>
      </c>
      <c r="C265" s="591">
        <v>200</v>
      </c>
      <c r="D265" s="769">
        <v>6265</v>
      </c>
      <c r="E265" s="770"/>
      <c r="F265" s="765">
        <v>6465</v>
      </c>
      <c r="G265" s="766"/>
      <c r="H265" s="761">
        <f t="shared" si="10"/>
        <v>0</v>
      </c>
      <c r="I265" s="762"/>
      <c r="J265" s="620">
        <v>200</v>
      </c>
    </row>
    <row r="266" spans="1:10" ht="20.25">
      <c r="A266" s="431" t="s">
        <v>915</v>
      </c>
      <c r="C266" s="591">
        <v>0</v>
      </c>
      <c r="D266" s="765"/>
      <c r="E266" s="766"/>
      <c r="F266" s="767"/>
      <c r="G266" s="768"/>
      <c r="H266" s="761">
        <f t="shared" si="10"/>
        <v>0</v>
      </c>
      <c r="I266" s="762"/>
      <c r="J266" s="620">
        <v>0</v>
      </c>
    </row>
    <row r="267" spans="1:10" ht="20.25">
      <c r="A267" s="431" t="s">
        <v>916</v>
      </c>
      <c r="C267" s="591">
        <v>0</v>
      </c>
      <c r="D267" s="765"/>
      <c r="E267" s="766"/>
      <c r="F267" s="767"/>
      <c r="G267" s="768"/>
      <c r="H267" s="761">
        <f t="shared" si="10"/>
        <v>0</v>
      </c>
      <c r="I267" s="762"/>
      <c r="J267" s="620">
        <v>0</v>
      </c>
    </row>
    <row r="268" spans="1:10" ht="20.25">
      <c r="A268" s="431" t="s">
        <v>933</v>
      </c>
      <c r="C268" s="591">
        <v>33330</v>
      </c>
      <c r="D268" s="757"/>
      <c r="E268" s="758"/>
      <c r="F268" s="759"/>
      <c r="G268" s="760"/>
      <c r="H268" s="761">
        <f>+C268+D268-F268</f>
        <v>33330</v>
      </c>
      <c r="I268" s="762"/>
      <c r="J268" s="620">
        <v>33330</v>
      </c>
    </row>
    <row r="269" spans="2:11" ht="21" thickBot="1">
      <c r="B269" s="439" t="s">
        <v>34</v>
      </c>
      <c r="C269" s="592">
        <f>SUM(C260:C268)</f>
        <v>1278379.48</v>
      </c>
      <c r="D269" s="763">
        <f>SUM(D260:E268)</f>
        <v>82440.88</v>
      </c>
      <c r="E269" s="764"/>
      <c r="F269" s="763">
        <f>SUM(F260:G268)</f>
        <v>158182.01</v>
      </c>
      <c r="G269" s="764"/>
      <c r="H269" s="763">
        <f>SUM(H260:I268)</f>
        <v>1202638.35</v>
      </c>
      <c r="I269" s="764"/>
      <c r="J269" s="596">
        <f>+C269+D269-F269</f>
        <v>1202638.3499999999</v>
      </c>
      <c r="K269" s="596">
        <f>+J269-H269</f>
        <v>0</v>
      </c>
    </row>
    <row r="270" ht="21" thickTop="1">
      <c r="C270" s="596"/>
    </row>
    <row r="271" spans="2:3" ht="20.25">
      <c r="B271" s="442" t="s">
        <v>691</v>
      </c>
      <c r="C271" s="442"/>
    </row>
    <row r="272" spans="2:9" ht="20.25">
      <c r="B272" s="442" t="s">
        <v>692</v>
      </c>
      <c r="C272" s="442"/>
      <c r="H272" s="787" t="s">
        <v>693</v>
      </c>
      <c r="I272" s="787"/>
    </row>
    <row r="273" spans="2:9" ht="20.25">
      <c r="B273" s="788" t="s">
        <v>54</v>
      </c>
      <c r="C273" s="788"/>
      <c r="D273" s="788"/>
      <c r="E273" s="788"/>
      <c r="H273" s="789"/>
      <c r="I273" s="789"/>
    </row>
    <row r="274" spans="2:10" ht="20.25">
      <c r="B274" s="443" t="s">
        <v>940</v>
      </c>
      <c r="C274" s="443"/>
      <c r="D274" s="443"/>
      <c r="E274" s="443"/>
      <c r="H274" s="791">
        <v>1998000</v>
      </c>
      <c r="I274" s="791"/>
      <c r="J274" s="431" t="s">
        <v>959</v>
      </c>
    </row>
    <row r="275" spans="2:10" ht="20.25">
      <c r="B275" s="443" t="s">
        <v>943</v>
      </c>
      <c r="C275" s="443"/>
      <c r="D275" s="443"/>
      <c r="E275" s="443"/>
      <c r="H275" s="791">
        <v>38000</v>
      </c>
      <c r="I275" s="791"/>
      <c r="J275" s="431" t="s">
        <v>959</v>
      </c>
    </row>
    <row r="276" spans="2:10" ht="20.25">
      <c r="B276" s="443" t="s">
        <v>944</v>
      </c>
      <c r="C276" s="443"/>
      <c r="D276" s="443"/>
      <c r="E276" s="443"/>
      <c r="H276" s="791">
        <v>4300</v>
      </c>
      <c r="I276" s="791"/>
      <c r="J276" s="431" t="s">
        <v>959</v>
      </c>
    </row>
    <row r="277" spans="2:10" ht="20.25">
      <c r="B277" s="443" t="s">
        <v>941</v>
      </c>
      <c r="C277" s="443"/>
      <c r="D277" s="443"/>
      <c r="E277" s="443"/>
      <c r="H277" s="791">
        <v>2900</v>
      </c>
      <c r="I277" s="791"/>
      <c r="J277" s="431" t="s">
        <v>959</v>
      </c>
    </row>
    <row r="278" spans="2:9" ht="20.25">
      <c r="B278" s="443"/>
      <c r="C278" s="443"/>
      <c r="D278" s="443"/>
      <c r="E278" s="443"/>
      <c r="H278" s="621"/>
      <c r="I278" s="621"/>
    </row>
    <row r="279" spans="2:9" ht="20.25">
      <c r="B279" s="793" t="s">
        <v>77</v>
      </c>
      <c r="C279" s="793"/>
      <c r="D279" s="793"/>
      <c r="E279" s="793"/>
      <c r="H279" s="791"/>
      <c r="I279" s="791"/>
    </row>
    <row r="280" spans="2:9" ht="20.25">
      <c r="B280" s="790" t="s">
        <v>942</v>
      </c>
      <c r="C280" s="790"/>
      <c r="D280" s="790"/>
      <c r="E280" s="790"/>
      <c r="H280" s="791">
        <v>80000</v>
      </c>
      <c r="I280" s="791"/>
    </row>
    <row r="281" spans="2:9" ht="20.25">
      <c r="B281" s="792" t="s">
        <v>55</v>
      </c>
      <c r="C281" s="792"/>
      <c r="D281" s="790"/>
      <c r="E281" s="790"/>
      <c r="H281" s="791">
        <v>0</v>
      </c>
      <c r="I281" s="791"/>
    </row>
    <row r="282" spans="2:9" ht="20.25" hidden="1">
      <c r="B282" s="797"/>
      <c r="C282" s="797"/>
      <c r="D282" s="797"/>
      <c r="E282" s="797"/>
      <c r="H282" s="791"/>
      <c r="I282" s="791"/>
    </row>
    <row r="283" spans="2:9" ht="20.25" hidden="1">
      <c r="B283" s="443"/>
      <c r="C283" s="443"/>
      <c r="D283" s="443"/>
      <c r="E283" s="443"/>
      <c r="H283" s="791"/>
      <c r="I283" s="791"/>
    </row>
    <row r="284" spans="2:9" ht="20.25" hidden="1">
      <c r="B284" s="794"/>
      <c r="C284" s="794"/>
      <c r="D284" s="794"/>
      <c r="E284" s="794"/>
      <c r="H284" s="791"/>
      <c r="I284" s="791"/>
    </row>
    <row r="285" spans="2:9" ht="20.25" hidden="1">
      <c r="B285" s="795"/>
      <c r="C285" s="795"/>
      <c r="D285" s="796"/>
      <c r="E285" s="796"/>
      <c r="F285" s="796"/>
      <c r="H285" s="791"/>
      <c r="I285" s="791"/>
    </row>
    <row r="286" spans="2:9" ht="20.25" hidden="1">
      <c r="B286" s="790"/>
      <c r="C286" s="790"/>
      <c r="D286" s="790"/>
      <c r="E286" s="790"/>
      <c r="F286" s="790"/>
      <c r="H286" s="791"/>
      <c r="I286" s="791"/>
    </row>
    <row r="287" spans="2:9" ht="20.25" hidden="1">
      <c r="B287" s="790"/>
      <c r="C287" s="790"/>
      <c r="D287" s="790"/>
      <c r="E287" s="790"/>
      <c r="F287" s="790"/>
      <c r="H287" s="791">
        <v>0</v>
      </c>
      <c r="I287" s="791"/>
    </row>
    <row r="288" spans="2:9" ht="20.25" hidden="1">
      <c r="B288" s="790"/>
      <c r="C288" s="790"/>
      <c r="D288" s="790"/>
      <c r="E288" s="790"/>
      <c r="F288" s="790"/>
      <c r="H288" s="791">
        <v>0</v>
      </c>
      <c r="I288" s="791"/>
    </row>
    <row r="289" spans="2:9" ht="20.25" hidden="1">
      <c r="B289" s="790"/>
      <c r="C289" s="790"/>
      <c r="D289" s="790"/>
      <c r="E289" s="790"/>
      <c r="F289" s="790"/>
      <c r="H289" s="791">
        <v>0</v>
      </c>
      <c r="I289" s="791"/>
    </row>
    <row r="290" spans="2:9" ht="20.25" hidden="1">
      <c r="B290" s="790"/>
      <c r="C290" s="790"/>
      <c r="D290" s="790"/>
      <c r="E290" s="790"/>
      <c r="F290" s="790"/>
      <c r="H290" s="791">
        <v>0</v>
      </c>
      <c r="I290" s="791"/>
    </row>
    <row r="291" spans="2:9" ht="20.25" hidden="1">
      <c r="B291" s="790"/>
      <c r="C291" s="790"/>
      <c r="D291" s="790"/>
      <c r="E291" s="790"/>
      <c r="F291" s="790"/>
      <c r="H291" s="791">
        <v>0</v>
      </c>
      <c r="I291" s="791"/>
    </row>
    <row r="292" spans="2:9" ht="20.25" hidden="1">
      <c r="B292" s="790"/>
      <c r="C292" s="790"/>
      <c r="D292" s="790"/>
      <c r="E292" s="790"/>
      <c r="F292" s="790"/>
      <c r="H292" s="798"/>
      <c r="I292" s="798"/>
    </row>
    <row r="293" spans="2:9" ht="21" thickBot="1">
      <c r="B293" s="449"/>
      <c r="C293" s="449"/>
      <c r="D293" s="449"/>
      <c r="E293" s="449"/>
      <c r="F293" s="439" t="s">
        <v>528</v>
      </c>
      <c r="H293" s="799">
        <f>SUM(H274:H292)</f>
        <v>2123200</v>
      </c>
      <c r="I293" s="799"/>
    </row>
    <row r="294" spans="2:9" ht="21" thickTop="1">
      <c r="B294" s="442"/>
      <c r="C294" s="453"/>
      <c r="D294" s="453"/>
      <c r="E294" s="453"/>
      <c r="F294" s="439"/>
      <c r="H294" s="454"/>
      <c r="I294" s="454"/>
    </row>
  </sheetData>
  <sheetProtection/>
  <mergeCells count="566">
    <mergeCell ref="H293:I293"/>
    <mergeCell ref="B290:F290"/>
    <mergeCell ref="H290:I290"/>
    <mergeCell ref="B291:F291"/>
    <mergeCell ref="H291:I291"/>
    <mergeCell ref="B292:F292"/>
    <mergeCell ref="H292:I292"/>
    <mergeCell ref="B287:F287"/>
    <mergeCell ref="H287:I287"/>
    <mergeCell ref="B288:F288"/>
    <mergeCell ref="H288:I288"/>
    <mergeCell ref="B289:F289"/>
    <mergeCell ref="H289:I289"/>
    <mergeCell ref="H283:I283"/>
    <mergeCell ref="B284:E284"/>
    <mergeCell ref="H284:I284"/>
    <mergeCell ref="B285:F285"/>
    <mergeCell ref="H285:I285"/>
    <mergeCell ref="B286:F286"/>
    <mergeCell ref="H286:I286"/>
    <mergeCell ref="B280:E280"/>
    <mergeCell ref="H280:I280"/>
    <mergeCell ref="B281:E281"/>
    <mergeCell ref="H281:I281"/>
    <mergeCell ref="B282:E282"/>
    <mergeCell ref="H282:I282"/>
    <mergeCell ref="H272:I272"/>
    <mergeCell ref="B273:E273"/>
    <mergeCell ref="H273:I273"/>
    <mergeCell ref="B279:E279"/>
    <mergeCell ref="H279:I279"/>
    <mergeCell ref="H274:I274"/>
    <mergeCell ref="H275:I275"/>
    <mergeCell ref="H276:I276"/>
    <mergeCell ref="H277:I277"/>
    <mergeCell ref="D268:E268"/>
    <mergeCell ref="F268:G268"/>
    <mergeCell ref="H268:I268"/>
    <mergeCell ref="D269:E269"/>
    <mergeCell ref="F269:G269"/>
    <mergeCell ref="H269:I269"/>
    <mergeCell ref="D266:E266"/>
    <mergeCell ref="F266:G266"/>
    <mergeCell ref="H266:I266"/>
    <mergeCell ref="D267:E267"/>
    <mergeCell ref="F267:G267"/>
    <mergeCell ref="H267:I267"/>
    <mergeCell ref="D264:E264"/>
    <mergeCell ref="F264:G264"/>
    <mergeCell ref="H264:I264"/>
    <mergeCell ref="D265:E265"/>
    <mergeCell ref="F265:G265"/>
    <mergeCell ref="H265:I265"/>
    <mergeCell ref="D262:E262"/>
    <mergeCell ref="F262:G262"/>
    <mergeCell ref="H262:I262"/>
    <mergeCell ref="D263:E263"/>
    <mergeCell ref="F263:G263"/>
    <mergeCell ref="H263:I263"/>
    <mergeCell ref="D260:E260"/>
    <mergeCell ref="F260:G260"/>
    <mergeCell ref="H260:I260"/>
    <mergeCell ref="D261:E261"/>
    <mergeCell ref="F261:G261"/>
    <mergeCell ref="H261:I261"/>
    <mergeCell ref="A255:I255"/>
    <mergeCell ref="A256:I256"/>
    <mergeCell ref="A259:B259"/>
    <mergeCell ref="D259:E259"/>
    <mergeCell ref="F259:G259"/>
    <mergeCell ref="H259:I259"/>
    <mergeCell ref="D212:E212"/>
    <mergeCell ref="F212:G212"/>
    <mergeCell ref="H212:I212"/>
    <mergeCell ref="D213:E213"/>
    <mergeCell ref="F213:G213"/>
    <mergeCell ref="H213:I213"/>
    <mergeCell ref="D210:E210"/>
    <mergeCell ref="F210:G210"/>
    <mergeCell ref="H210:I210"/>
    <mergeCell ref="D211:E211"/>
    <mergeCell ref="F211:G211"/>
    <mergeCell ref="H211:I211"/>
    <mergeCell ref="D208:E208"/>
    <mergeCell ref="F208:G208"/>
    <mergeCell ref="H208:I208"/>
    <mergeCell ref="D209:E209"/>
    <mergeCell ref="F209:G209"/>
    <mergeCell ref="H209:I209"/>
    <mergeCell ref="D206:E206"/>
    <mergeCell ref="F206:G206"/>
    <mergeCell ref="H206:I206"/>
    <mergeCell ref="D207:E207"/>
    <mergeCell ref="F207:G207"/>
    <mergeCell ref="H207:I207"/>
    <mergeCell ref="D204:E204"/>
    <mergeCell ref="F204:G204"/>
    <mergeCell ref="H204:I204"/>
    <mergeCell ref="D205:E205"/>
    <mergeCell ref="F205:G205"/>
    <mergeCell ref="H205:I205"/>
    <mergeCell ref="A197:I197"/>
    <mergeCell ref="A198:I198"/>
    <mergeCell ref="A199:I199"/>
    <mergeCell ref="A200:I200"/>
    <mergeCell ref="A203:B203"/>
    <mergeCell ref="D203:E203"/>
    <mergeCell ref="F203:G203"/>
    <mergeCell ref="H203:I203"/>
    <mergeCell ref="D193:E193"/>
    <mergeCell ref="F193:G193"/>
    <mergeCell ref="H193:I193"/>
    <mergeCell ref="D194:E194"/>
    <mergeCell ref="F194:G194"/>
    <mergeCell ref="H194:I194"/>
    <mergeCell ref="D191:E191"/>
    <mergeCell ref="F191:G191"/>
    <mergeCell ref="H191:I191"/>
    <mergeCell ref="D192:E192"/>
    <mergeCell ref="F192:G192"/>
    <mergeCell ref="H192:I192"/>
    <mergeCell ref="D189:E189"/>
    <mergeCell ref="F189:G189"/>
    <mergeCell ref="H189:I189"/>
    <mergeCell ref="D190:E190"/>
    <mergeCell ref="F190:G190"/>
    <mergeCell ref="H190:I190"/>
    <mergeCell ref="D187:E187"/>
    <mergeCell ref="F187:G187"/>
    <mergeCell ref="H187:I187"/>
    <mergeCell ref="D188:E188"/>
    <mergeCell ref="F188:G188"/>
    <mergeCell ref="H188:I188"/>
    <mergeCell ref="D185:E185"/>
    <mergeCell ref="F185:G185"/>
    <mergeCell ref="H185:I185"/>
    <mergeCell ref="D186:E186"/>
    <mergeCell ref="F186:G186"/>
    <mergeCell ref="H186:I186"/>
    <mergeCell ref="A178:I178"/>
    <mergeCell ref="A179:I179"/>
    <mergeCell ref="A180:I180"/>
    <mergeCell ref="A181:I181"/>
    <mergeCell ref="A184:B184"/>
    <mergeCell ref="D184:E184"/>
    <mergeCell ref="F184:G184"/>
    <mergeCell ref="H184:I184"/>
    <mergeCell ref="H174:I174"/>
    <mergeCell ref="D170:E170"/>
    <mergeCell ref="F170:G170"/>
    <mergeCell ref="H170:I170"/>
    <mergeCell ref="F176:G176"/>
    <mergeCell ref="H176:I176"/>
    <mergeCell ref="F172:G172"/>
    <mergeCell ref="H172:I172"/>
    <mergeCell ref="D173:E173"/>
    <mergeCell ref="F173:G173"/>
    <mergeCell ref="H173:I173"/>
    <mergeCell ref="F166:G166"/>
    <mergeCell ref="H166:I166"/>
    <mergeCell ref="F168:G168"/>
    <mergeCell ref="H168:I168"/>
    <mergeCell ref="D169:E169"/>
    <mergeCell ref="F169:G169"/>
    <mergeCell ref="H169:I169"/>
    <mergeCell ref="D167:E167"/>
    <mergeCell ref="F167:G167"/>
    <mergeCell ref="D175:E175"/>
    <mergeCell ref="F175:G175"/>
    <mergeCell ref="H175:I175"/>
    <mergeCell ref="D176:E176"/>
    <mergeCell ref="D171:E171"/>
    <mergeCell ref="F171:G171"/>
    <mergeCell ref="H171:I171"/>
    <mergeCell ref="D172:E172"/>
    <mergeCell ref="D174:E174"/>
    <mergeCell ref="F174:G174"/>
    <mergeCell ref="H167:I167"/>
    <mergeCell ref="D168:E168"/>
    <mergeCell ref="A160:I160"/>
    <mergeCell ref="A161:I161"/>
    <mergeCell ref="A162:I162"/>
    <mergeCell ref="A163:I163"/>
    <mergeCell ref="A166:B166"/>
    <mergeCell ref="D166:E166"/>
    <mergeCell ref="D137:E137"/>
    <mergeCell ref="D138:E138"/>
    <mergeCell ref="D121:E121"/>
    <mergeCell ref="F121:G121"/>
    <mergeCell ref="A124:I124"/>
    <mergeCell ref="A125:I125"/>
    <mergeCell ref="D135:E135"/>
    <mergeCell ref="F135:G135"/>
    <mergeCell ref="H121:I121"/>
    <mergeCell ref="D122:E122"/>
    <mergeCell ref="F122:G122"/>
    <mergeCell ref="H122:I122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A108:I108"/>
    <mergeCell ref="A109:I109"/>
    <mergeCell ref="A110:I110"/>
    <mergeCell ref="A111:I111"/>
    <mergeCell ref="A114:B114"/>
    <mergeCell ref="D114:E114"/>
    <mergeCell ref="F114:G114"/>
    <mergeCell ref="H114:I114"/>
    <mergeCell ref="H106:I106"/>
    <mergeCell ref="B103:F103"/>
    <mergeCell ref="H103:I103"/>
    <mergeCell ref="B104:F104"/>
    <mergeCell ref="H104:I104"/>
    <mergeCell ref="B105:F105"/>
    <mergeCell ref="H105:I105"/>
    <mergeCell ref="B100:F100"/>
    <mergeCell ref="H100:I100"/>
    <mergeCell ref="B101:F101"/>
    <mergeCell ref="H101:I101"/>
    <mergeCell ref="B102:F102"/>
    <mergeCell ref="H102:I102"/>
    <mergeCell ref="H96:I96"/>
    <mergeCell ref="B97:E97"/>
    <mergeCell ref="H97:I97"/>
    <mergeCell ref="B98:F98"/>
    <mergeCell ref="H98:I98"/>
    <mergeCell ref="B99:F99"/>
    <mergeCell ref="H99:I99"/>
    <mergeCell ref="B93:E93"/>
    <mergeCell ref="H93:I93"/>
    <mergeCell ref="B94:E94"/>
    <mergeCell ref="H94:I94"/>
    <mergeCell ref="B95:E95"/>
    <mergeCell ref="H95:I95"/>
    <mergeCell ref="H89:I89"/>
    <mergeCell ref="B90:E90"/>
    <mergeCell ref="H90:I90"/>
    <mergeCell ref="B91:E91"/>
    <mergeCell ref="H91:I91"/>
    <mergeCell ref="B92:E92"/>
    <mergeCell ref="H92:I92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A72:I72"/>
    <mergeCell ref="A73:I73"/>
    <mergeCell ref="A74:I74"/>
    <mergeCell ref="A75:I75"/>
    <mergeCell ref="A78:B78"/>
    <mergeCell ref="D78:E78"/>
    <mergeCell ref="F78:G78"/>
    <mergeCell ref="H78:I78"/>
    <mergeCell ref="H70:I70"/>
    <mergeCell ref="B67:F67"/>
    <mergeCell ref="H67:I67"/>
    <mergeCell ref="B68:F68"/>
    <mergeCell ref="H68:I68"/>
    <mergeCell ref="B69:F69"/>
    <mergeCell ref="H69:I69"/>
    <mergeCell ref="B64:F64"/>
    <mergeCell ref="H64:I64"/>
    <mergeCell ref="B65:F65"/>
    <mergeCell ref="H65:I65"/>
    <mergeCell ref="B66:F66"/>
    <mergeCell ref="H66:I66"/>
    <mergeCell ref="H60:I60"/>
    <mergeCell ref="B61:E61"/>
    <mergeCell ref="H61:I61"/>
    <mergeCell ref="B62:F62"/>
    <mergeCell ref="H62:I62"/>
    <mergeCell ref="B63:F63"/>
    <mergeCell ref="H63:I63"/>
    <mergeCell ref="B57:E57"/>
    <mergeCell ref="H57:I57"/>
    <mergeCell ref="B58:E58"/>
    <mergeCell ref="H58:I58"/>
    <mergeCell ref="B59:E59"/>
    <mergeCell ref="H59:I59"/>
    <mergeCell ref="H53:I53"/>
    <mergeCell ref="B54:E54"/>
    <mergeCell ref="H54:I54"/>
    <mergeCell ref="B55:E55"/>
    <mergeCell ref="H55:I55"/>
    <mergeCell ref="B56:E56"/>
    <mergeCell ref="H56:I56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A37:I37"/>
    <mergeCell ref="A38:I38"/>
    <mergeCell ref="A39:I39"/>
    <mergeCell ref="A40:I40"/>
    <mergeCell ref="A43:B43"/>
    <mergeCell ref="D43:E43"/>
    <mergeCell ref="F43:G43"/>
    <mergeCell ref="H43:I43"/>
    <mergeCell ref="B33:F33"/>
    <mergeCell ref="H33:I33"/>
    <mergeCell ref="H34:I34"/>
    <mergeCell ref="B31:F31"/>
    <mergeCell ref="H31:I31"/>
    <mergeCell ref="B32:F32"/>
    <mergeCell ref="H32:I32"/>
    <mergeCell ref="B29:F29"/>
    <mergeCell ref="H29:I29"/>
    <mergeCell ref="B30:F30"/>
    <mergeCell ref="H30:I30"/>
    <mergeCell ref="B27:F27"/>
    <mergeCell ref="H27:I27"/>
    <mergeCell ref="B28:F28"/>
    <mergeCell ref="H28:I28"/>
    <mergeCell ref="B25:E25"/>
    <mergeCell ref="H25:I25"/>
    <mergeCell ref="B26:F26"/>
    <mergeCell ref="H26:I26"/>
    <mergeCell ref="B23:E23"/>
    <mergeCell ref="H23:I23"/>
    <mergeCell ref="H24:I24"/>
    <mergeCell ref="B21:E21"/>
    <mergeCell ref="H21:I21"/>
    <mergeCell ref="B22:E22"/>
    <mergeCell ref="H22:I22"/>
    <mergeCell ref="B19:E19"/>
    <mergeCell ref="H19:I19"/>
    <mergeCell ref="B20:E20"/>
    <mergeCell ref="H20:I20"/>
    <mergeCell ref="H17:I17"/>
    <mergeCell ref="B18:E18"/>
    <mergeCell ref="H18:I18"/>
    <mergeCell ref="D15:E15"/>
    <mergeCell ref="F15:G15"/>
    <mergeCell ref="H15:I15"/>
    <mergeCell ref="D14:E14"/>
    <mergeCell ref="F14:G14"/>
    <mergeCell ref="H14:I14"/>
    <mergeCell ref="D13:E13"/>
    <mergeCell ref="F13:G13"/>
    <mergeCell ref="H13:I13"/>
    <mergeCell ref="D12:E12"/>
    <mergeCell ref="F12:G12"/>
    <mergeCell ref="H12:I12"/>
    <mergeCell ref="D11:E11"/>
    <mergeCell ref="F11:G11"/>
    <mergeCell ref="H11:I11"/>
    <mergeCell ref="H7:I7"/>
    <mergeCell ref="D9:E9"/>
    <mergeCell ref="F9:G9"/>
    <mergeCell ref="H9:I9"/>
    <mergeCell ref="D10:E10"/>
    <mergeCell ref="F10:G10"/>
    <mergeCell ref="H10:I10"/>
    <mergeCell ref="A2:I2"/>
    <mergeCell ref="A3:I3"/>
    <mergeCell ref="A4:I4"/>
    <mergeCell ref="A1:I1"/>
    <mergeCell ref="D8:E8"/>
    <mergeCell ref="F8:G8"/>
    <mergeCell ref="H8:I8"/>
    <mergeCell ref="A7:B7"/>
    <mergeCell ref="D7:E7"/>
    <mergeCell ref="F7:G7"/>
    <mergeCell ref="D131:E131"/>
    <mergeCell ref="F131:G131"/>
    <mergeCell ref="H131:I131"/>
    <mergeCell ref="D132:E132"/>
    <mergeCell ref="F132:G132"/>
    <mergeCell ref="H132:I132"/>
    <mergeCell ref="A126:I126"/>
    <mergeCell ref="A127:I127"/>
    <mergeCell ref="A130:B130"/>
    <mergeCell ref="D130:E130"/>
    <mergeCell ref="F130:G130"/>
    <mergeCell ref="H130:I130"/>
    <mergeCell ref="H133:I133"/>
    <mergeCell ref="D134:E134"/>
    <mergeCell ref="F134:G134"/>
    <mergeCell ref="H134:I134"/>
    <mergeCell ref="F136:G136"/>
    <mergeCell ref="H136:I136"/>
    <mergeCell ref="H135:I135"/>
    <mergeCell ref="D136:E136"/>
    <mergeCell ref="D133:E133"/>
    <mergeCell ref="F133:G133"/>
    <mergeCell ref="H137:I137"/>
    <mergeCell ref="H138:I138"/>
    <mergeCell ref="D139:E139"/>
    <mergeCell ref="F139:G139"/>
    <mergeCell ref="H139:I139"/>
    <mergeCell ref="D140:E140"/>
    <mergeCell ref="F140:G140"/>
    <mergeCell ref="H140:I140"/>
    <mergeCell ref="F137:G137"/>
    <mergeCell ref="F138:G138"/>
    <mergeCell ref="H149:I149"/>
    <mergeCell ref="D150:E150"/>
    <mergeCell ref="A142:I142"/>
    <mergeCell ref="A143:I143"/>
    <mergeCell ref="A144:I144"/>
    <mergeCell ref="A145:I145"/>
    <mergeCell ref="A148:B148"/>
    <mergeCell ref="D148:E148"/>
    <mergeCell ref="D157:E157"/>
    <mergeCell ref="F157:G157"/>
    <mergeCell ref="H157:I157"/>
    <mergeCell ref="D158:E158"/>
    <mergeCell ref="D153:E153"/>
    <mergeCell ref="F153:G153"/>
    <mergeCell ref="H153:I153"/>
    <mergeCell ref="D154:E154"/>
    <mergeCell ref="D156:E156"/>
    <mergeCell ref="F156:G156"/>
    <mergeCell ref="H155:I155"/>
    <mergeCell ref="F148:G148"/>
    <mergeCell ref="H148:I148"/>
    <mergeCell ref="F150:G150"/>
    <mergeCell ref="H150:I150"/>
    <mergeCell ref="D151:E151"/>
    <mergeCell ref="F151:G151"/>
    <mergeCell ref="H151:I151"/>
    <mergeCell ref="D149:E149"/>
    <mergeCell ref="F149:G149"/>
    <mergeCell ref="H156:I156"/>
    <mergeCell ref="D152:E152"/>
    <mergeCell ref="F152:G152"/>
    <mergeCell ref="H152:I152"/>
    <mergeCell ref="F158:G158"/>
    <mergeCell ref="H158:I158"/>
    <mergeCell ref="F154:G154"/>
    <mergeCell ref="H154:I154"/>
    <mergeCell ref="D155:E155"/>
    <mergeCell ref="F155:G155"/>
    <mergeCell ref="A216:I216"/>
    <mergeCell ref="A217:I217"/>
    <mergeCell ref="A218:I218"/>
    <mergeCell ref="A219:I219"/>
    <mergeCell ref="A222:B222"/>
    <mergeCell ref="D222:E222"/>
    <mergeCell ref="F222:G222"/>
    <mergeCell ref="H222:I222"/>
    <mergeCell ref="D223:E223"/>
    <mergeCell ref="F223:G223"/>
    <mergeCell ref="H223:I223"/>
    <mergeCell ref="D224:E224"/>
    <mergeCell ref="F224:G224"/>
    <mergeCell ref="H224:I224"/>
    <mergeCell ref="D225:E225"/>
    <mergeCell ref="F225:G225"/>
    <mergeCell ref="H225:I225"/>
    <mergeCell ref="D226:E226"/>
    <mergeCell ref="F226:G226"/>
    <mergeCell ref="H226:I226"/>
    <mergeCell ref="D227:E227"/>
    <mergeCell ref="F227:G227"/>
    <mergeCell ref="H227:I227"/>
    <mergeCell ref="D228:E228"/>
    <mergeCell ref="F228:G228"/>
    <mergeCell ref="H228:I228"/>
    <mergeCell ref="D229:E229"/>
    <mergeCell ref="F229:G229"/>
    <mergeCell ref="H229:I229"/>
    <mergeCell ref="D230:E230"/>
    <mergeCell ref="F230:G230"/>
    <mergeCell ref="H230:I230"/>
    <mergeCell ref="H231:I231"/>
    <mergeCell ref="D231:E231"/>
    <mergeCell ref="F231:G231"/>
    <mergeCell ref="D232:E232"/>
    <mergeCell ref="F232:G232"/>
    <mergeCell ref="H232:I232"/>
    <mergeCell ref="A234:I234"/>
    <mergeCell ref="A235:I235"/>
    <mergeCell ref="A236:I236"/>
    <mergeCell ref="A237:I237"/>
    <mergeCell ref="A240:B240"/>
    <mergeCell ref="D240:E240"/>
    <mergeCell ref="F240:G240"/>
    <mergeCell ref="H240:I240"/>
    <mergeCell ref="D241:E241"/>
    <mergeCell ref="F241:G241"/>
    <mergeCell ref="H241:I241"/>
    <mergeCell ref="D242:E242"/>
    <mergeCell ref="F242:G242"/>
    <mergeCell ref="H242:I242"/>
    <mergeCell ref="D243:E243"/>
    <mergeCell ref="F243:G243"/>
    <mergeCell ref="H243:I243"/>
    <mergeCell ref="D244:E244"/>
    <mergeCell ref="F244:G244"/>
    <mergeCell ref="H244:I244"/>
    <mergeCell ref="D245:E245"/>
    <mergeCell ref="F245:G245"/>
    <mergeCell ref="H245:I245"/>
    <mergeCell ref="D246:E246"/>
    <mergeCell ref="F246:G246"/>
    <mergeCell ref="H246:I246"/>
    <mergeCell ref="D247:E247"/>
    <mergeCell ref="F247:G247"/>
    <mergeCell ref="H247:I247"/>
    <mergeCell ref="D248:E248"/>
    <mergeCell ref="F248:G248"/>
    <mergeCell ref="H248:I248"/>
    <mergeCell ref="A253:I253"/>
    <mergeCell ref="A254:I254"/>
    <mergeCell ref="D249:E249"/>
    <mergeCell ref="F249:G249"/>
    <mergeCell ref="H249:I249"/>
    <mergeCell ref="D250:E250"/>
    <mergeCell ref="F250:G250"/>
    <mergeCell ref="H250:I250"/>
  </mergeCells>
  <printOptions/>
  <pageMargins left="0.21" right="0.11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U258"/>
  <sheetViews>
    <sheetView zoomScalePageLayoutView="0" workbookViewId="0" topLeftCell="BO1">
      <selection activeCell="BP139" sqref="BP139"/>
    </sheetView>
  </sheetViews>
  <sheetFormatPr defaultColWidth="9.140625" defaultRowHeight="15"/>
  <cols>
    <col min="1" max="1" width="48.00390625" style="456" customWidth="1"/>
    <col min="2" max="2" width="7.421875" style="542" customWidth="1"/>
    <col min="3" max="3" width="14.00390625" style="535" bestFit="1" customWidth="1"/>
    <col min="4" max="4" width="13.00390625" style="542" customWidth="1"/>
    <col min="5" max="5" width="12.7109375" style="554" customWidth="1"/>
    <col min="6" max="6" width="13.7109375" style="456" bestFit="1" customWidth="1"/>
    <col min="7" max="7" width="48.00390625" style="456" customWidth="1"/>
    <col min="8" max="8" width="7.421875" style="456" customWidth="1"/>
    <col min="9" max="9" width="13.57421875" style="456" customWidth="1"/>
    <col min="10" max="10" width="13.00390625" style="578" customWidth="1"/>
    <col min="11" max="11" width="14.421875" style="456" customWidth="1"/>
    <col min="12" max="12" width="13.140625" style="456" customWidth="1"/>
    <col min="13" max="13" width="49.28125" style="456" customWidth="1"/>
    <col min="14" max="14" width="9.00390625" style="456" customWidth="1"/>
    <col min="15" max="15" width="14.00390625" style="456" customWidth="1"/>
    <col min="16" max="16" width="11.140625" style="456" customWidth="1"/>
    <col min="17" max="17" width="14.421875" style="456" customWidth="1"/>
    <col min="18" max="18" width="9.00390625" style="456" customWidth="1"/>
    <col min="19" max="19" width="52.140625" style="456" customWidth="1"/>
    <col min="20" max="20" width="9.00390625" style="456" customWidth="1"/>
    <col min="21" max="21" width="14.00390625" style="456" customWidth="1"/>
    <col min="22" max="22" width="11.140625" style="456" customWidth="1"/>
    <col min="23" max="23" width="18.421875" style="456" customWidth="1"/>
    <col min="24" max="24" width="9.00390625" style="456" customWidth="1"/>
    <col min="25" max="25" width="52.140625" style="456" customWidth="1"/>
    <col min="26" max="26" width="9.00390625" style="456" customWidth="1"/>
    <col min="27" max="27" width="14.00390625" style="456" customWidth="1"/>
    <col min="28" max="28" width="11.140625" style="456" customWidth="1"/>
    <col min="29" max="29" width="12.421875" style="456" customWidth="1"/>
    <col min="30" max="30" width="9.00390625" style="456" customWidth="1"/>
    <col min="31" max="31" width="52.140625" style="456" customWidth="1"/>
    <col min="32" max="32" width="9.00390625" style="456" customWidth="1"/>
    <col min="33" max="33" width="14.00390625" style="456" customWidth="1"/>
    <col min="34" max="34" width="12.57421875" style="456" customWidth="1"/>
    <col min="35" max="35" width="12.421875" style="456" customWidth="1"/>
    <col min="36" max="36" width="13.7109375" style="456" bestFit="1" customWidth="1"/>
    <col min="37" max="37" width="52.140625" style="456" customWidth="1"/>
    <col min="38" max="38" width="9.00390625" style="456" customWidth="1"/>
    <col min="39" max="39" width="14.00390625" style="456" bestFit="1" customWidth="1"/>
    <col min="40" max="40" width="12.57421875" style="456" bestFit="1" customWidth="1"/>
    <col min="41" max="41" width="12.421875" style="456" bestFit="1" customWidth="1"/>
    <col min="42" max="42" width="13.7109375" style="456" bestFit="1" customWidth="1"/>
    <col min="43" max="43" width="52.140625" style="456" customWidth="1"/>
    <col min="44" max="44" width="9.00390625" style="456" customWidth="1"/>
    <col min="45" max="45" width="14.00390625" style="456" bestFit="1" customWidth="1"/>
    <col min="46" max="46" width="12.57421875" style="456" bestFit="1" customWidth="1"/>
    <col min="47" max="47" width="12.421875" style="456" bestFit="1" customWidth="1"/>
    <col min="48" max="48" width="9.00390625" style="456" customWidth="1"/>
    <col min="49" max="49" width="52.140625" style="456" customWidth="1"/>
    <col min="50" max="50" width="9.00390625" style="456" customWidth="1"/>
    <col min="51" max="51" width="14.00390625" style="456" bestFit="1" customWidth="1"/>
    <col min="52" max="52" width="12.57421875" style="456" bestFit="1" customWidth="1"/>
    <col min="53" max="53" width="12.421875" style="456" bestFit="1" customWidth="1"/>
    <col min="54" max="54" width="9.00390625" style="456" customWidth="1"/>
    <col min="55" max="55" width="52.140625" style="456" customWidth="1"/>
    <col min="56" max="56" width="9.00390625" style="456" customWidth="1"/>
    <col min="57" max="57" width="14.00390625" style="456" bestFit="1" customWidth="1"/>
    <col min="58" max="58" width="12.57421875" style="456" bestFit="1" customWidth="1"/>
    <col min="59" max="59" width="12.421875" style="456" bestFit="1" customWidth="1"/>
    <col min="60" max="60" width="11.28125" style="456" bestFit="1" customWidth="1"/>
    <col min="61" max="61" width="52.140625" style="456" customWidth="1"/>
    <col min="62" max="62" width="9.00390625" style="456" customWidth="1"/>
    <col min="63" max="63" width="14.00390625" style="456" bestFit="1" customWidth="1"/>
    <col min="64" max="64" width="12.57421875" style="456" bestFit="1" customWidth="1"/>
    <col min="65" max="65" width="12.421875" style="456" bestFit="1" customWidth="1"/>
    <col min="66" max="66" width="12.57421875" style="456" bestFit="1" customWidth="1"/>
    <col min="67" max="67" width="52.140625" style="456" customWidth="1"/>
    <col min="68" max="68" width="9.00390625" style="456" customWidth="1"/>
    <col min="69" max="69" width="14.00390625" style="456" bestFit="1" customWidth="1"/>
    <col min="70" max="70" width="12.57421875" style="456" bestFit="1" customWidth="1"/>
    <col min="71" max="71" width="12.421875" style="456" bestFit="1" customWidth="1"/>
    <col min="72" max="72" width="13.7109375" style="456" hidden="1" customWidth="1"/>
    <col min="73" max="73" width="9.421875" style="456" hidden="1" customWidth="1"/>
    <col min="74" max="74" width="0" style="456" hidden="1" customWidth="1"/>
    <col min="75" max="16384" width="9.00390625" style="456" customWidth="1"/>
  </cols>
  <sheetData>
    <row r="1" spans="1:71" ht="26.25">
      <c r="A1" s="455" t="s">
        <v>734</v>
      </c>
      <c r="B1" s="457"/>
      <c r="C1" s="526"/>
      <c r="D1" s="457"/>
      <c r="E1" s="457"/>
      <c r="G1" s="802" t="s">
        <v>876</v>
      </c>
      <c r="H1" s="802"/>
      <c r="I1" s="802"/>
      <c r="J1" s="802"/>
      <c r="K1" s="802"/>
      <c r="M1" s="802" t="s">
        <v>892</v>
      </c>
      <c r="N1" s="802"/>
      <c r="O1" s="802"/>
      <c r="P1" s="802"/>
      <c r="Q1" s="802"/>
      <c r="S1" s="802" t="s">
        <v>905</v>
      </c>
      <c r="T1" s="802"/>
      <c r="U1" s="802"/>
      <c r="V1" s="802"/>
      <c r="W1" s="457" t="s">
        <v>906</v>
      </c>
      <c r="Y1" s="802" t="s">
        <v>905</v>
      </c>
      <c r="Z1" s="802"/>
      <c r="AA1" s="802"/>
      <c r="AB1" s="802"/>
      <c r="AC1" s="457" t="s">
        <v>906</v>
      </c>
      <c r="AE1" s="802" t="s">
        <v>905</v>
      </c>
      <c r="AF1" s="802"/>
      <c r="AG1" s="802"/>
      <c r="AH1" s="802"/>
      <c r="AI1" s="457" t="s">
        <v>906</v>
      </c>
      <c r="AK1" s="802" t="s">
        <v>905</v>
      </c>
      <c r="AL1" s="802"/>
      <c r="AM1" s="802"/>
      <c r="AN1" s="802"/>
      <c r="AO1" s="457" t="s">
        <v>906</v>
      </c>
      <c r="AQ1" s="802" t="s">
        <v>905</v>
      </c>
      <c r="AR1" s="802"/>
      <c r="AS1" s="802"/>
      <c r="AT1" s="802"/>
      <c r="AU1" s="457" t="s">
        <v>906</v>
      </c>
      <c r="AW1" s="802" t="s">
        <v>905</v>
      </c>
      <c r="AX1" s="802"/>
      <c r="AY1" s="802"/>
      <c r="AZ1" s="802"/>
      <c r="BA1" s="457" t="s">
        <v>906</v>
      </c>
      <c r="BC1" s="802" t="s">
        <v>905</v>
      </c>
      <c r="BD1" s="802"/>
      <c r="BE1" s="802"/>
      <c r="BF1" s="802"/>
      <c r="BG1" s="457" t="s">
        <v>906</v>
      </c>
      <c r="BI1" s="802" t="s">
        <v>905</v>
      </c>
      <c r="BJ1" s="802"/>
      <c r="BK1" s="802"/>
      <c r="BL1" s="802"/>
      <c r="BM1" s="457" t="s">
        <v>906</v>
      </c>
      <c r="BO1" s="802" t="s">
        <v>905</v>
      </c>
      <c r="BP1" s="802"/>
      <c r="BQ1" s="802"/>
      <c r="BR1" s="802"/>
      <c r="BS1" s="457" t="s">
        <v>906</v>
      </c>
    </row>
    <row r="2" spans="1:71" ht="26.25">
      <c r="A2" s="802" t="s">
        <v>273</v>
      </c>
      <c r="B2" s="802"/>
      <c r="C2" s="802"/>
      <c r="D2" s="802"/>
      <c r="E2" s="802"/>
      <c r="G2" s="802" t="s">
        <v>273</v>
      </c>
      <c r="H2" s="802"/>
      <c r="I2" s="802"/>
      <c r="J2" s="802"/>
      <c r="K2" s="802"/>
      <c r="M2" s="812" t="s">
        <v>890</v>
      </c>
      <c r="N2" s="812"/>
      <c r="O2" s="812"/>
      <c r="P2" s="812"/>
      <c r="Q2" s="812"/>
      <c r="S2" s="803" t="s">
        <v>909</v>
      </c>
      <c r="T2" s="803"/>
      <c r="U2" s="803"/>
      <c r="V2" s="803"/>
      <c r="W2" s="803"/>
      <c r="Y2" s="803" t="s">
        <v>909</v>
      </c>
      <c r="Z2" s="803"/>
      <c r="AA2" s="803"/>
      <c r="AB2" s="803"/>
      <c r="AC2" s="803"/>
      <c r="AE2" s="803" t="s">
        <v>909</v>
      </c>
      <c r="AF2" s="803"/>
      <c r="AG2" s="803"/>
      <c r="AH2" s="803"/>
      <c r="AI2" s="803"/>
      <c r="AK2" s="803" t="s">
        <v>909</v>
      </c>
      <c r="AL2" s="803"/>
      <c r="AM2" s="803"/>
      <c r="AN2" s="803"/>
      <c r="AO2" s="803"/>
      <c r="AQ2" s="803" t="s">
        <v>909</v>
      </c>
      <c r="AR2" s="803"/>
      <c r="AS2" s="803"/>
      <c r="AT2" s="803"/>
      <c r="AU2" s="803"/>
      <c r="AW2" s="803" t="s">
        <v>909</v>
      </c>
      <c r="AX2" s="803"/>
      <c r="AY2" s="803"/>
      <c r="AZ2" s="803"/>
      <c r="BA2" s="803"/>
      <c r="BC2" s="803" t="s">
        <v>909</v>
      </c>
      <c r="BD2" s="803"/>
      <c r="BE2" s="803"/>
      <c r="BF2" s="803"/>
      <c r="BG2" s="803"/>
      <c r="BI2" s="803" t="s">
        <v>909</v>
      </c>
      <c r="BJ2" s="803"/>
      <c r="BK2" s="803"/>
      <c r="BL2" s="803"/>
      <c r="BM2" s="803"/>
      <c r="BO2" s="803" t="s">
        <v>909</v>
      </c>
      <c r="BP2" s="803"/>
      <c r="BQ2" s="803"/>
      <c r="BR2" s="803"/>
      <c r="BS2" s="803"/>
    </row>
    <row r="3" spans="1:71" ht="26.25">
      <c r="A3" s="811" t="s">
        <v>865</v>
      </c>
      <c r="B3" s="811"/>
      <c r="C3" s="811"/>
      <c r="D3" s="811"/>
      <c r="E3" s="811"/>
      <c r="G3" s="811" t="s">
        <v>870</v>
      </c>
      <c r="H3" s="811"/>
      <c r="I3" s="811"/>
      <c r="J3" s="811"/>
      <c r="K3" s="811"/>
      <c r="M3" s="811" t="s">
        <v>891</v>
      </c>
      <c r="N3" s="811"/>
      <c r="O3" s="811"/>
      <c r="P3" s="811"/>
      <c r="Q3" s="811"/>
      <c r="S3" s="804" t="s">
        <v>910</v>
      </c>
      <c r="T3" s="804"/>
      <c r="U3" s="804"/>
      <c r="V3" s="804"/>
      <c r="W3" s="804"/>
      <c r="Y3" s="804" t="s">
        <v>912</v>
      </c>
      <c r="Z3" s="804"/>
      <c r="AA3" s="804"/>
      <c r="AB3" s="804"/>
      <c r="AC3" s="804"/>
      <c r="AE3" s="804" t="s">
        <v>920</v>
      </c>
      <c r="AF3" s="804"/>
      <c r="AG3" s="804"/>
      <c r="AH3" s="804"/>
      <c r="AI3" s="804"/>
      <c r="AK3" s="804" t="s">
        <v>922</v>
      </c>
      <c r="AL3" s="804"/>
      <c r="AM3" s="804"/>
      <c r="AN3" s="804"/>
      <c r="AO3" s="804"/>
      <c r="AQ3" s="804" t="s">
        <v>927</v>
      </c>
      <c r="AR3" s="804"/>
      <c r="AS3" s="804"/>
      <c r="AT3" s="804"/>
      <c r="AU3" s="804"/>
      <c r="AW3" s="804" t="s">
        <v>929</v>
      </c>
      <c r="AX3" s="804"/>
      <c r="AY3" s="804"/>
      <c r="AZ3" s="804"/>
      <c r="BA3" s="804"/>
      <c r="BC3" s="804" t="s">
        <v>934</v>
      </c>
      <c r="BD3" s="804"/>
      <c r="BE3" s="804"/>
      <c r="BF3" s="804"/>
      <c r="BG3" s="804"/>
      <c r="BI3" s="804" t="s">
        <v>936</v>
      </c>
      <c r="BJ3" s="804"/>
      <c r="BK3" s="804"/>
      <c r="BL3" s="804"/>
      <c r="BM3" s="804"/>
      <c r="BO3" s="804" t="s">
        <v>939</v>
      </c>
      <c r="BP3" s="804"/>
      <c r="BQ3" s="804"/>
      <c r="BR3" s="804"/>
      <c r="BS3" s="804"/>
    </row>
    <row r="4" spans="1:71" ht="24">
      <c r="A4" s="805" t="s">
        <v>32</v>
      </c>
      <c r="B4" s="805" t="s">
        <v>83</v>
      </c>
      <c r="C4" s="807" t="s">
        <v>33</v>
      </c>
      <c r="D4" s="805" t="s">
        <v>736</v>
      </c>
      <c r="E4" s="458" t="s">
        <v>737</v>
      </c>
      <c r="F4" s="459"/>
      <c r="G4" s="805" t="s">
        <v>32</v>
      </c>
      <c r="H4" s="805" t="s">
        <v>83</v>
      </c>
      <c r="I4" s="807" t="s">
        <v>33</v>
      </c>
      <c r="J4" s="809" t="s">
        <v>736</v>
      </c>
      <c r="K4" s="458" t="s">
        <v>737</v>
      </c>
      <c r="M4" s="805" t="s">
        <v>32</v>
      </c>
      <c r="N4" s="805" t="s">
        <v>83</v>
      </c>
      <c r="O4" s="807" t="s">
        <v>33</v>
      </c>
      <c r="P4" s="809" t="s">
        <v>736</v>
      </c>
      <c r="Q4" s="458" t="s">
        <v>737</v>
      </c>
      <c r="S4" s="805" t="s">
        <v>32</v>
      </c>
      <c r="T4" s="805" t="s">
        <v>83</v>
      </c>
      <c r="U4" s="807" t="s">
        <v>33</v>
      </c>
      <c r="V4" s="809" t="s">
        <v>736</v>
      </c>
      <c r="W4" s="458" t="s">
        <v>737</v>
      </c>
      <c r="Y4" s="805" t="s">
        <v>32</v>
      </c>
      <c r="Z4" s="805" t="s">
        <v>83</v>
      </c>
      <c r="AA4" s="807" t="s">
        <v>33</v>
      </c>
      <c r="AB4" s="809" t="s">
        <v>736</v>
      </c>
      <c r="AC4" s="458" t="s">
        <v>737</v>
      </c>
      <c r="AE4" s="805" t="s">
        <v>32</v>
      </c>
      <c r="AF4" s="805" t="s">
        <v>83</v>
      </c>
      <c r="AG4" s="807" t="s">
        <v>33</v>
      </c>
      <c r="AH4" s="809" t="s">
        <v>736</v>
      </c>
      <c r="AI4" s="458" t="s">
        <v>737</v>
      </c>
      <c r="AK4" s="805" t="s">
        <v>32</v>
      </c>
      <c r="AL4" s="805" t="s">
        <v>83</v>
      </c>
      <c r="AM4" s="807" t="s">
        <v>33</v>
      </c>
      <c r="AN4" s="809" t="s">
        <v>736</v>
      </c>
      <c r="AO4" s="458" t="s">
        <v>737</v>
      </c>
      <c r="AQ4" s="805" t="s">
        <v>32</v>
      </c>
      <c r="AR4" s="805" t="s">
        <v>83</v>
      </c>
      <c r="AS4" s="807" t="s">
        <v>33</v>
      </c>
      <c r="AT4" s="809" t="s">
        <v>736</v>
      </c>
      <c r="AU4" s="458" t="s">
        <v>737</v>
      </c>
      <c r="AW4" s="805" t="s">
        <v>32</v>
      </c>
      <c r="AX4" s="805" t="s">
        <v>83</v>
      </c>
      <c r="AY4" s="807" t="s">
        <v>33</v>
      </c>
      <c r="AZ4" s="809" t="s">
        <v>736</v>
      </c>
      <c r="BA4" s="458" t="s">
        <v>737</v>
      </c>
      <c r="BC4" s="805" t="s">
        <v>32</v>
      </c>
      <c r="BD4" s="805" t="s">
        <v>83</v>
      </c>
      <c r="BE4" s="807" t="s">
        <v>33</v>
      </c>
      <c r="BF4" s="809" t="s">
        <v>736</v>
      </c>
      <c r="BG4" s="458" t="s">
        <v>737</v>
      </c>
      <c r="BI4" s="805" t="s">
        <v>32</v>
      </c>
      <c r="BJ4" s="805" t="s">
        <v>83</v>
      </c>
      <c r="BK4" s="807" t="s">
        <v>33</v>
      </c>
      <c r="BL4" s="809" t="s">
        <v>736</v>
      </c>
      <c r="BM4" s="458" t="s">
        <v>737</v>
      </c>
      <c r="BO4" s="805" t="s">
        <v>32</v>
      </c>
      <c r="BP4" s="805" t="s">
        <v>83</v>
      </c>
      <c r="BQ4" s="807" t="s">
        <v>33</v>
      </c>
      <c r="BR4" s="809" t="s">
        <v>736</v>
      </c>
      <c r="BS4" s="458" t="s">
        <v>737</v>
      </c>
    </row>
    <row r="5" spans="1:71" ht="24">
      <c r="A5" s="806"/>
      <c r="B5" s="806"/>
      <c r="C5" s="808"/>
      <c r="D5" s="806"/>
      <c r="E5" s="460" t="s">
        <v>733</v>
      </c>
      <c r="F5" s="459"/>
      <c r="G5" s="806"/>
      <c r="H5" s="806"/>
      <c r="I5" s="808"/>
      <c r="J5" s="810"/>
      <c r="K5" s="460" t="s">
        <v>733</v>
      </c>
      <c r="M5" s="806"/>
      <c r="N5" s="806"/>
      <c r="O5" s="808"/>
      <c r="P5" s="810"/>
      <c r="Q5" s="460" t="s">
        <v>733</v>
      </c>
      <c r="S5" s="806"/>
      <c r="T5" s="806"/>
      <c r="U5" s="808"/>
      <c r="V5" s="810"/>
      <c r="W5" s="460" t="s">
        <v>733</v>
      </c>
      <c r="Y5" s="806"/>
      <c r="Z5" s="806"/>
      <c r="AA5" s="808"/>
      <c r="AB5" s="810"/>
      <c r="AC5" s="460" t="s">
        <v>733</v>
      </c>
      <c r="AE5" s="806"/>
      <c r="AF5" s="806"/>
      <c r="AG5" s="808"/>
      <c r="AH5" s="810"/>
      <c r="AI5" s="460" t="s">
        <v>733</v>
      </c>
      <c r="AK5" s="806"/>
      <c r="AL5" s="806"/>
      <c r="AM5" s="808"/>
      <c r="AN5" s="810"/>
      <c r="AO5" s="460" t="s">
        <v>733</v>
      </c>
      <c r="AQ5" s="806"/>
      <c r="AR5" s="806"/>
      <c r="AS5" s="808"/>
      <c r="AT5" s="810"/>
      <c r="AU5" s="460" t="s">
        <v>733</v>
      </c>
      <c r="AW5" s="806"/>
      <c r="AX5" s="806"/>
      <c r="AY5" s="808"/>
      <c r="AZ5" s="810"/>
      <c r="BA5" s="460" t="s">
        <v>733</v>
      </c>
      <c r="BC5" s="806"/>
      <c r="BD5" s="806"/>
      <c r="BE5" s="808"/>
      <c r="BF5" s="810"/>
      <c r="BG5" s="460" t="s">
        <v>733</v>
      </c>
      <c r="BI5" s="806"/>
      <c r="BJ5" s="806"/>
      <c r="BK5" s="808"/>
      <c r="BL5" s="810"/>
      <c r="BM5" s="460" t="s">
        <v>733</v>
      </c>
      <c r="BO5" s="806"/>
      <c r="BP5" s="806"/>
      <c r="BQ5" s="808"/>
      <c r="BR5" s="810"/>
      <c r="BS5" s="460" t="s">
        <v>733</v>
      </c>
    </row>
    <row r="6" spans="1:71" ht="24">
      <c r="A6" s="461" t="s">
        <v>278</v>
      </c>
      <c r="B6" s="537"/>
      <c r="C6" s="527"/>
      <c r="D6" s="543"/>
      <c r="E6" s="550"/>
      <c r="F6" s="466"/>
      <c r="G6" s="461" t="s">
        <v>278</v>
      </c>
      <c r="H6" s="537"/>
      <c r="I6" s="527"/>
      <c r="J6" s="563"/>
      <c r="K6" s="550"/>
      <c r="M6" s="461" t="s">
        <v>278</v>
      </c>
      <c r="N6" s="537"/>
      <c r="O6" s="527"/>
      <c r="P6" s="563"/>
      <c r="Q6" s="550"/>
      <c r="S6" s="461" t="s">
        <v>278</v>
      </c>
      <c r="T6" s="537"/>
      <c r="U6" s="527"/>
      <c r="V6" s="563"/>
      <c r="W6" s="550"/>
      <c r="Y6" s="461" t="s">
        <v>278</v>
      </c>
      <c r="Z6" s="537"/>
      <c r="AA6" s="527"/>
      <c r="AB6" s="563"/>
      <c r="AC6" s="550"/>
      <c r="AE6" s="461" t="s">
        <v>278</v>
      </c>
      <c r="AF6" s="537"/>
      <c r="AG6" s="527"/>
      <c r="AH6" s="563"/>
      <c r="AI6" s="550"/>
      <c r="AK6" s="461" t="s">
        <v>278</v>
      </c>
      <c r="AL6" s="537"/>
      <c r="AM6" s="527"/>
      <c r="AN6" s="563"/>
      <c r="AO6" s="550"/>
      <c r="AQ6" s="461" t="s">
        <v>278</v>
      </c>
      <c r="AR6" s="537"/>
      <c r="AS6" s="527"/>
      <c r="AT6" s="563"/>
      <c r="AU6" s="550"/>
      <c r="AW6" s="461" t="s">
        <v>278</v>
      </c>
      <c r="AX6" s="537"/>
      <c r="AY6" s="527"/>
      <c r="AZ6" s="563"/>
      <c r="BA6" s="550"/>
      <c r="BC6" s="461" t="s">
        <v>278</v>
      </c>
      <c r="BD6" s="537"/>
      <c r="BE6" s="527"/>
      <c r="BF6" s="563"/>
      <c r="BG6" s="550"/>
      <c r="BI6" s="461" t="s">
        <v>278</v>
      </c>
      <c r="BJ6" s="537"/>
      <c r="BK6" s="527"/>
      <c r="BL6" s="563"/>
      <c r="BM6" s="550"/>
      <c r="BO6" s="461" t="s">
        <v>278</v>
      </c>
      <c r="BP6" s="537"/>
      <c r="BQ6" s="527"/>
      <c r="BR6" s="563"/>
      <c r="BS6" s="550"/>
    </row>
    <row r="7" spans="1:71" ht="24">
      <c r="A7" s="467" t="s">
        <v>279</v>
      </c>
      <c r="B7" s="468">
        <v>411000</v>
      </c>
      <c r="C7" s="536">
        <v>287000</v>
      </c>
      <c r="D7" s="543"/>
      <c r="E7" s="473">
        <f>+D7</f>
        <v>0</v>
      </c>
      <c r="F7" s="466"/>
      <c r="G7" s="467" t="s">
        <v>279</v>
      </c>
      <c r="H7" s="468">
        <v>411000</v>
      </c>
      <c r="I7" s="536">
        <v>287000</v>
      </c>
      <c r="J7" s="563"/>
      <c r="K7" s="473">
        <f>+J7</f>
        <v>0</v>
      </c>
      <c r="M7" s="467" t="s">
        <v>279</v>
      </c>
      <c r="N7" s="468">
        <v>411000</v>
      </c>
      <c r="O7" s="536">
        <v>287000</v>
      </c>
      <c r="P7" s="563"/>
      <c r="Q7" s="473"/>
      <c r="S7" s="467" t="s">
        <v>279</v>
      </c>
      <c r="T7" s="468">
        <v>411000</v>
      </c>
      <c r="U7" s="536">
        <v>287000</v>
      </c>
      <c r="V7" s="563"/>
      <c r="W7" s="473"/>
      <c r="Y7" s="467" t="s">
        <v>279</v>
      </c>
      <c r="Z7" s="468">
        <v>411000</v>
      </c>
      <c r="AA7" s="536">
        <v>287000</v>
      </c>
      <c r="AB7" s="563"/>
      <c r="AC7" s="473"/>
      <c r="AE7" s="467" t="s">
        <v>279</v>
      </c>
      <c r="AF7" s="468">
        <v>411000</v>
      </c>
      <c r="AG7" s="536">
        <v>287000</v>
      </c>
      <c r="AH7" s="563"/>
      <c r="AI7" s="473"/>
      <c r="AK7" s="467" t="s">
        <v>279</v>
      </c>
      <c r="AL7" s="468">
        <v>411000</v>
      </c>
      <c r="AM7" s="536">
        <v>287000</v>
      </c>
      <c r="AN7" s="563"/>
      <c r="AO7" s="473"/>
      <c r="AQ7" s="467" t="s">
        <v>279</v>
      </c>
      <c r="AR7" s="468">
        <v>411000</v>
      </c>
      <c r="AS7" s="536">
        <v>287000</v>
      </c>
      <c r="AT7" s="563"/>
      <c r="AU7" s="473"/>
      <c r="AW7" s="467" t="s">
        <v>279</v>
      </c>
      <c r="AX7" s="468">
        <v>411000</v>
      </c>
      <c r="AY7" s="536">
        <v>287000</v>
      </c>
      <c r="AZ7" s="563"/>
      <c r="BA7" s="473"/>
      <c r="BC7" s="467" t="s">
        <v>279</v>
      </c>
      <c r="BD7" s="468">
        <v>411000</v>
      </c>
      <c r="BE7" s="536">
        <v>287000</v>
      </c>
      <c r="BF7" s="563"/>
      <c r="BG7" s="473"/>
      <c r="BI7" s="467" t="s">
        <v>279</v>
      </c>
      <c r="BJ7" s="468">
        <v>411000</v>
      </c>
      <c r="BK7" s="536">
        <v>287000</v>
      </c>
      <c r="BL7" s="563"/>
      <c r="BM7" s="473"/>
      <c r="BO7" s="467" t="s">
        <v>279</v>
      </c>
      <c r="BP7" s="468">
        <v>411000</v>
      </c>
      <c r="BQ7" s="536">
        <v>287000</v>
      </c>
      <c r="BR7" s="563"/>
      <c r="BS7" s="473"/>
    </row>
    <row r="8" spans="1:71" ht="24">
      <c r="A8" s="464" t="s">
        <v>738</v>
      </c>
      <c r="B8" s="470">
        <v>411001</v>
      </c>
      <c r="C8" s="527">
        <v>80000</v>
      </c>
      <c r="D8" s="544"/>
      <c r="E8" s="473">
        <f>+D8</f>
        <v>0</v>
      </c>
      <c r="F8" s="466"/>
      <c r="G8" s="464" t="s">
        <v>738</v>
      </c>
      <c r="H8" s="470">
        <v>411001</v>
      </c>
      <c r="I8" s="527">
        <v>80000</v>
      </c>
      <c r="J8" s="564">
        <v>806</v>
      </c>
      <c r="K8" s="473">
        <f>+D8+J8</f>
        <v>806</v>
      </c>
      <c r="M8" s="464" t="s">
        <v>738</v>
      </c>
      <c r="N8" s="470">
        <v>411001</v>
      </c>
      <c r="O8" s="527">
        <v>80000</v>
      </c>
      <c r="P8" s="564">
        <v>1560</v>
      </c>
      <c r="Q8" s="473">
        <f>+D8+J8+P8</f>
        <v>2366</v>
      </c>
      <c r="S8" s="464" t="s">
        <v>738</v>
      </c>
      <c r="T8" s="470">
        <v>411001</v>
      </c>
      <c r="U8" s="527">
        <v>80000</v>
      </c>
      <c r="V8" s="564">
        <v>27942.5</v>
      </c>
      <c r="W8" s="473">
        <f>+D8+J8+P8+V8</f>
        <v>30308.5</v>
      </c>
      <c r="Y8" s="464" t="s">
        <v>738</v>
      </c>
      <c r="Z8" s="470">
        <v>411001</v>
      </c>
      <c r="AA8" s="527">
        <v>80000</v>
      </c>
      <c r="AB8" s="564">
        <v>32142</v>
      </c>
      <c r="AC8" s="473">
        <f>+J8+P8+V8+AB8+D8</f>
        <v>62450.5</v>
      </c>
      <c r="AE8" s="464" t="s">
        <v>738</v>
      </c>
      <c r="AF8" s="470">
        <v>411001</v>
      </c>
      <c r="AG8" s="527">
        <v>80000</v>
      </c>
      <c r="AH8" s="564">
        <v>25723</v>
      </c>
      <c r="AI8" s="473">
        <f>+P8+V8+AB8+AH8+J8+D8</f>
        <v>88173.5</v>
      </c>
      <c r="AK8" s="464" t="s">
        <v>738</v>
      </c>
      <c r="AL8" s="470">
        <v>411001</v>
      </c>
      <c r="AM8" s="527">
        <v>80000</v>
      </c>
      <c r="AN8" s="564">
        <v>2185</v>
      </c>
      <c r="AO8" s="473">
        <f>+V8+AB8+AH8+AN8+P8+J8+D8</f>
        <v>90358.5</v>
      </c>
      <c r="AQ8" s="464" t="s">
        <v>738</v>
      </c>
      <c r="AR8" s="470">
        <v>411001</v>
      </c>
      <c r="AS8" s="527">
        <v>80000</v>
      </c>
      <c r="AT8" s="564">
        <v>410</v>
      </c>
      <c r="AU8" s="473">
        <f>+AB8+AH8+AN8+AT8+V8+P8+J8+D8</f>
        <v>90768.5</v>
      </c>
      <c r="AW8" s="464" t="s">
        <v>738</v>
      </c>
      <c r="AX8" s="470">
        <v>411001</v>
      </c>
      <c r="AY8" s="527">
        <v>80000</v>
      </c>
      <c r="AZ8" s="564">
        <v>210</v>
      </c>
      <c r="BA8" s="473">
        <f>+AH8+AN8+AT8+AZ8+AB8+V8+P8+J8+D8</f>
        <v>90978.5</v>
      </c>
      <c r="BC8" s="464" t="s">
        <v>738</v>
      </c>
      <c r="BD8" s="470">
        <v>411001</v>
      </c>
      <c r="BE8" s="527">
        <v>80000</v>
      </c>
      <c r="BF8" s="564">
        <v>415</v>
      </c>
      <c r="BG8" s="473">
        <f>+AN8+AT8+AZ8+BF8+AH8+AB8+V8+P8+J8+D8</f>
        <v>91393.5</v>
      </c>
      <c r="BI8" s="464" t="s">
        <v>738</v>
      </c>
      <c r="BJ8" s="470">
        <v>411001</v>
      </c>
      <c r="BK8" s="527">
        <v>80000</v>
      </c>
      <c r="BL8" s="564"/>
      <c r="BM8" s="473">
        <f>+AT8+AZ8+BF8+BL8+AN8+AH8+AB8+V8+P8+J8+D8</f>
        <v>91393.5</v>
      </c>
      <c r="BO8" s="464" t="s">
        <v>738</v>
      </c>
      <c r="BP8" s="470">
        <v>411001</v>
      </c>
      <c r="BQ8" s="527">
        <v>80000</v>
      </c>
      <c r="BR8" s="564">
        <v>215</v>
      </c>
      <c r="BS8" s="473">
        <f>+AZ8+BF8+BL8+BR8+AT8+AN8+AH8+AB8+V8+P8+J8+D8</f>
        <v>91608.5</v>
      </c>
    </row>
    <row r="9" spans="1:71" ht="24">
      <c r="A9" s="464" t="s">
        <v>739</v>
      </c>
      <c r="B9" s="470">
        <v>411002</v>
      </c>
      <c r="C9" s="527">
        <v>200000</v>
      </c>
      <c r="D9" s="544">
        <v>4589.45</v>
      </c>
      <c r="E9" s="473">
        <f>+D9</f>
        <v>4589.45</v>
      </c>
      <c r="F9" s="466"/>
      <c r="G9" s="464" t="s">
        <v>739</v>
      </c>
      <c r="H9" s="470">
        <v>411002</v>
      </c>
      <c r="I9" s="527">
        <v>200000</v>
      </c>
      <c r="J9" s="564">
        <v>6155.05</v>
      </c>
      <c r="K9" s="473">
        <f>+D9+J9</f>
        <v>10744.5</v>
      </c>
      <c r="M9" s="464" t="s">
        <v>739</v>
      </c>
      <c r="N9" s="470">
        <v>411002</v>
      </c>
      <c r="O9" s="527">
        <v>200000</v>
      </c>
      <c r="P9" s="564">
        <v>1212.2</v>
      </c>
      <c r="Q9" s="473">
        <f>+D9+J9+P9</f>
        <v>11956.7</v>
      </c>
      <c r="S9" s="464" t="s">
        <v>739</v>
      </c>
      <c r="T9" s="470">
        <v>411002</v>
      </c>
      <c r="U9" s="527">
        <v>200000</v>
      </c>
      <c r="V9" s="564">
        <v>18410.65</v>
      </c>
      <c r="W9" s="473">
        <f>+D9+J9+P9+V9</f>
        <v>30367.350000000002</v>
      </c>
      <c r="Y9" s="464" t="s">
        <v>739</v>
      </c>
      <c r="Z9" s="470">
        <v>411002</v>
      </c>
      <c r="AA9" s="527">
        <v>200000</v>
      </c>
      <c r="AB9" s="564">
        <v>74013</v>
      </c>
      <c r="AC9" s="473">
        <f>+J9+P9+V9+AB9+D9</f>
        <v>104380.34999999999</v>
      </c>
      <c r="AE9" s="464" t="s">
        <v>739</v>
      </c>
      <c r="AF9" s="470">
        <v>411002</v>
      </c>
      <c r="AG9" s="527">
        <v>200000</v>
      </c>
      <c r="AH9" s="564">
        <v>62370</v>
      </c>
      <c r="AI9" s="473">
        <f>+P9+V9+AB9+AH9+J9+D9</f>
        <v>166750.35</v>
      </c>
      <c r="AK9" s="464" t="s">
        <v>739</v>
      </c>
      <c r="AL9" s="470">
        <v>411002</v>
      </c>
      <c r="AM9" s="527">
        <v>200000</v>
      </c>
      <c r="AN9" s="564">
        <v>27212</v>
      </c>
      <c r="AO9" s="473">
        <f>+V9+AB9+AH9+AN9+P9+J9+D9</f>
        <v>193962.35</v>
      </c>
      <c r="AQ9" s="464" t="s">
        <v>739</v>
      </c>
      <c r="AR9" s="470">
        <v>411002</v>
      </c>
      <c r="AS9" s="527">
        <v>200000</v>
      </c>
      <c r="AT9" s="564">
        <v>13923</v>
      </c>
      <c r="AU9" s="473">
        <f>+AB9+AH9+AN9+AT9+V9+P9+J9+D9</f>
        <v>207885.35</v>
      </c>
      <c r="AW9" s="464" t="s">
        <v>739</v>
      </c>
      <c r="AX9" s="470">
        <v>411002</v>
      </c>
      <c r="AY9" s="527">
        <v>200000</v>
      </c>
      <c r="AZ9" s="564">
        <v>5444</v>
      </c>
      <c r="BA9" s="473">
        <f>+AH9+AN9+AT9+AZ9+AB9+V9+P9+J9+D9</f>
        <v>213329.35</v>
      </c>
      <c r="BC9" s="464" t="s">
        <v>739</v>
      </c>
      <c r="BD9" s="470">
        <v>411002</v>
      </c>
      <c r="BE9" s="527">
        <v>200000</v>
      </c>
      <c r="BF9" s="564">
        <v>2802</v>
      </c>
      <c r="BG9" s="619">
        <f>+AN9+AT9+AZ9+BF9+AH9+AB9+V9+P9+J9+D9</f>
        <v>216131.35</v>
      </c>
      <c r="BH9" s="611"/>
      <c r="BI9" s="464" t="s">
        <v>739</v>
      </c>
      <c r="BJ9" s="470">
        <v>411002</v>
      </c>
      <c r="BK9" s="527">
        <v>200000</v>
      </c>
      <c r="BL9" s="564">
        <v>3270</v>
      </c>
      <c r="BM9" s="473">
        <f>+AT9+AZ9+BF9+BL9+AN9+AH9+AB9+V9+P9+J9+D9</f>
        <v>219401.35</v>
      </c>
      <c r="BO9" s="464" t="s">
        <v>739</v>
      </c>
      <c r="BP9" s="470">
        <v>411002</v>
      </c>
      <c r="BQ9" s="527">
        <v>200000</v>
      </c>
      <c r="BR9" s="564">
        <v>2778</v>
      </c>
      <c r="BS9" s="473">
        <f>+AZ9+BF9+BL9+BR9+AT9+AN9+AH9+AB9+V9+P9+J9+D9</f>
        <v>222179.35</v>
      </c>
    </row>
    <row r="10" spans="1:71" ht="24">
      <c r="A10" s="464" t="s">
        <v>740</v>
      </c>
      <c r="B10" s="470">
        <v>411003</v>
      </c>
      <c r="C10" s="527">
        <v>5000</v>
      </c>
      <c r="D10" s="544"/>
      <c r="E10" s="473">
        <f>+D10</f>
        <v>0</v>
      </c>
      <c r="F10" s="466"/>
      <c r="G10" s="464" t="s">
        <v>740</v>
      </c>
      <c r="H10" s="470">
        <v>411003</v>
      </c>
      <c r="I10" s="527">
        <v>5000</v>
      </c>
      <c r="J10" s="564"/>
      <c r="K10" s="473">
        <f>+D10+J10</f>
        <v>0</v>
      </c>
      <c r="M10" s="464" t="s">
        <v>740</v>
      </c>
      <c r="N10" s="470">
        <v>411003</v>
      </c>
      <c r="O10" s="527">
        <v>5000</v>
      </c>
      <c r="P10" s="564"/>
      <c r="Q10" s="473">
        <f>+D10+J10+P10</f>
        <v>0</v>
      </c>
      <c r="S10" s="464" t="s">
        <v>740</v>
      </c>
      <c r="T10" s="470">
        <v>411003</v>
      </c>
      <c r="U10" s="527">
        <v>5000</v>
      </c>
      <c r="V10" s="564">
        <v>2310</v>
      </c>
      <c r="W10" s="473">
        <f>+D10+J10+P10+V10</f>
        <v>2310</v>
      </c>
      <c r="Y10" s="464" t="s">
        <v>740</v>
      </c>
      <c r="Z10" s="470">
        <v>411003</v>
      </c>
      <c r="AA10" s="527">
        <v>5000</v>
      </c>
      <c r="AB10" s="564">
        <v>3520</v>
      </c>
      <c r="AC10" s="473">
        <f>+J10+P10+V10+AB10+D10</f>
        <v>5830</v>
      </c>
      <c r="AE10" s="464" t="s">
        <v>740</v>
      </c>
      <c r="AF10" s="470">
        <v>411003</v>
      </c>
      <c r="AG10" s="527">
        <v>5000</v>
      </c>
      <c r="AH10" s="564">
        <v>2960</v>
      </c>
      <c r="AI10" s="473">
        <f>+P10+V10+AB10+AH10+J10+D10</f>
        <v>8790</v>
      </c>
      <c r="AK10" s="464" t="s">
        <v>740</v>
      </c>
      <c r="AL10" s="470">
        <v>411003</v>
      </c>
      <c r="AM10" s="527">
        <v>5000</v>
      </c>
      <c r="AN10" s="564">
        <v>972</v>
      </c>
      <c r="AO10" s="473">
        <f>+V10+AB10+AH10+AN10+P10+J10+D10</f>
        <v>9762</v>
      </c>
      <c r="AQ10" s="464" t="s">
        <v>740</v>
      </c>
      <c r="AR10" s="470">
        <v>411003</v>
      </c>
      <c r="AS10" s="527">
        <v>5000</v>
      </c>
      <c r="AT10" s="564"/>
      <c r="AU10" s="473">
        <f>+AB10+AH10+AN10+AT10+V10+P10+J10+D10</f>
        <v>9762</v>
      </c>
      <c r="AW10" s="464" t="s">
        <v>740</v>
      </c>
      <c r="AX10" s="470">
        <v>411003</v>
      </c>
      <c r="AY10" s="527">
        <v>5000</v>
      </c>
      <c r="AZ10" s="564">
        <v>467</v>
      </c>
      <c r="BA10" s="473">
        <f>+AH10+AN10+AT10+AZ10+AB10+V10+P10+J10+D10</f>
        <v>10229</v>
      </c>
      <c r="BC10" s="464" t="s">
        <v>740</v>
      </c>
      <c r="BD10" s="470">
        <v>411003</v>
      </c>
      <c r="BE10" s="527">
        <v>5000</v>
      </c>
      <c r="BF10" s="564"/>
      <c r="BG10" s="473">
        <f>+AN10+AT10+AZ10+BF10+AH10+AB10+V10+P10+J10+D10</f>
        <v>10229</v>
      </c>
      <c r="BI10" s="464" t="s">
        <v>740</v>
      </c>
      <c r="BJ10" s="470">
        <v>411003</v>
      </c>
      <c r="BK10" s="527">
        <v>5000</v>
      </c>
      <c r="BL10" s="564"/>
      <c r="BM10" s="473">
        <f>+AT10+AZ10+BF10+BL10+AN10+AH10+AB10+V10+P10+J10+D10</f>
        <v>10229</v>
      </c>
      <c r="BO10" s="464" t="s">
        <v>740</v>
      </c>
      <c r="BP10" s="470">
        <v>411003</v>
      </c>
      <c r="BQ10" s="527">
        <v>5000</v>
      </c>
      <c r="BR10" s="564"/>
      <c r="BS10" s="473">
        <f>+AZ10+BF10+BL10+BR10+AT10+AN10+AH10+AB10+V10+P10+J10+D10</f>
        <v>10229</v>
      </c>
    </row>
    <row r="11" spans="1:71" ht="24">
      <c r="A11" s="464" t="s">
        <v>741</v>
      </c>
      <c r="B11" s="470">
        <v>411004</v>
      </c>
      <c r="C11" s="527">
        <v>2000</v>
      </c>
      <c r="D11" s="544"/>
      <c r="E11" s="473">
        <f>+D11</f>
        <v>0</v>
      </c>
      <c r="F11" s="466"/>
      <c r="G11" s="464" t="s">
        <v>741</v>
      </c>
      <c r="H11" s="470">
        <v>411004</v>
      </c>
      <c r="I11" s="527">
        <v>2000</v>
      </c>
      <c r="J11" s="564"/>
      <c r="K11" s="473">
        <f>+D11+J11</f>
        <v>0</v>
      </c>
      <c r="M11" s="464" t="s">
        <v>741</v>
      </c>
      <c r="N11" s="470">
        <v>411004</v>
      </c>
      <c r="O11" s="527">
        <v>2000</v>
      </c>
      <c r="P11" s="564"/>
      <c r="Q11" s="473">
        <f>+D11+J11+P11</f>
        <v>0</v>
      </c>
      <c r="S11" s="464" t="s">
        <v>741</v>
      </c>
      <c r="T11" s="470">
        <v>411004</v>
      </c>
      <c r="U11" s="527">
        <v>2000</v>
      </c>
      <c r="V11" s="564">
        <v>60</v>
      </c>
      <c r="W11" s="473">
        <f>+D11+J11+P11+V11</f>
        <v>60</v>
      </c>
      <c r="Y11" s="464" t="s">
        <v>741</v>
      </c>
      <c r="Z11" s="470">
        <v>411004</v>
      </c>
      <c r="AA11" s="527">
        <v>2000</v>
      </c>
      <c r="AB11" s="564"/>
      <c r="AC11" s="473">
        <f>+J11+P11+V11+AB11+D11</f>
        <v>60</v>
      </c>
      <c r="AE11" s="464" t="s">
        <v>741</v>
      </c>
      <c r="AF11" s="470">
        <v>411004</v>
      </c>
      <c r="AG11" s="527">
        <v>2000</v>
      </c>
      <c r="AH11" s="564"/>
      <c r="AI11" s="473">
        <f>+P11+V11+AB11+AH11+J11+D11</f>
        <v>60</v>
      </c>
      <c r="AK11" s="464" t="s">
        <v>741</v>
      </c>
      <c r="AL11" s="470">
        <v>411004</v>
      </c>
      <c r="AM11" s="527">
        <v>2000</v>
      </c>
      <c r="AN11" s="564"/>
      <c r="AO11" s="473">
        <f>+V11+AB11+AH11+AN11+P11+J11+D11</f>
        <v>60</v>
      </c>
      <c r="AQ11" s="464" t="s">
        <v>741</v>
      </c>
      <c r="AR11" s="470">
        <v>411004</v>
      </c>
      <c r="AS11" s="527">
        <v>2000</v>
      </c>
      <c r="AT11" s="564"/>
      <c r="AU11" s="473">
        <f>+AB11+AH11+AN11+AT11+V11+P11+J11+D11</f>
        <v>60</v>
      </c>
      <c r="AW11" s="464" t="s">
        <v>741</v>
      </c>
      <c r="AX11" s="470">
        <v>411004</v>
      </c>
      <c r="AY11" s="527">
        <v>2000</v>
      </c>
      <c r="AZ11" s="564"/>
      <c r="BA11" s="473">
        <f>+AH11+AN11+AT11+AZ11+AB11+V11+P11+J11+D11</f>
        <v>60</v>
      </c>
      <c r="BC11" s="464" t="s">
        <v>741</v>
      </c>
      <c r="BD11" s="470">
        <v>411004</v>
      </c>
      <c r="BE11" s="527">
        <v>2000</v>
      </c>
      <c r="BF11" s="564"/>
      <c r="BG11" s="473">
        <f>+AN11+AT11+AZ11+BF11+AH11+AB11+V11+P11+J11+D11</f>
        <v>60</v>
      </c>
      <c r="BI11" s="464" t="s">
        <v>741</v>
      </c>
      <c r="BJ11" s="470">
        <v>411004</v>
      </c>
      <c r="BK11" s="527">
        <v>2000</v>
      </c>
      <c r="BL11" s="564"/>
      <c r="BM11" s="473">
        <f>+AT11+AZ11+BF11+BL11+AN11+AH11+AB11+V11+P11+J11+D11</f>
        <v>60</v>
      </c>
      <c r="BO11" s="464" t="s">
        <v>741</v>
      </c>
      <c r="BP11" s="470">
        <v>411004</v>
      </c>
      <c r="BQ11" s="527">
        <v>2000</v>
      </c>
      <c r="BR11" s="564"/>
      <c r="BS11" s="473">
        <f>+AZ11+BF11+BL11+BR11+AT11+AN11+AH11+AB11+V11+P11+J11+D11</f>
        <v>60</v>
      </c>
    </row>
    <row r="12" spans="1:71" ht="24">
      <c r="A12" s="475" t="s">
        <v>34</v>
      </c>
      <c r="B12" s="470"/>
      <c r="C12" s="528">
        <f>SUM(C8:C11)</f>
        <v>287000</v>
      </c>
      <c r="D12" s="499">
        <f>SUM(D8:D11)</f>
        <v>4589.45</v>
      </c>
      <c r="E12" s="499">
        <f>SUM(E8:E11)</f>
        <v>4589.45</v>
      </c>
      <c r="F12" s="466"/>
      <c r="G12" s="475" t="s">
        <v>34</v>
      </c>
      <c r="H12" s="470"/>
      <c r="I12" s="528">
        <f>SUM(I8:I11)</f>
        <v>287000</v>
      </c>
      <c r="J12" s="565">
        <f>SUM(J8:J11)</f>
        <v>6961.05</v>
      </c>
      <c r="K12" s="499">
        <f>SUM(K8:K11)</f>
        <v>11550.5</v>
      </c>
      <c r="M12" s="475" t="s">
        <v>34</v>
      </c>
      <c r="N12" s="470"/>
      <c r="O12" s="528">
        <f>SUM(O8:O11)</f>
        <v>287000</v>
      </c>
      <c r="P12" s="565">
        <f>SUM(P8:P11)</f>
        <v>2772.2</v>
      </c>
      <c r="Q12" s="499">
        <f>SUM(Q8:Q11)</f>
        <v>14322.7</v>
      </c>
      <c r="S12" s="475" t="s">
        <v>34</v>
      </c>
      <c r="T12" s="470"/>
      <c r="U12" s="528">
        <f>SUM(U8:U11)</f>
        <v>287000</v>
      </c>
      <c r="V12" s="565">
        <f>SUM(V8:V11)</f>
        <v>48723.15</v>
      </c>
      <c r="W12" s="499">
        <f>SUM(W8:W11)</f>
        <v>63045.850000000006</v>
      </c>
      <c r="Y12" s="475" t="s">
        <v>34</v>
      </c>
      <c r="Z12" s="470"/>
      <c r="AA12" s="528">
        <f>SUM(AA8:AA11)</f>
        <v>287000</v>
      </c>
      <c r="AB12" s="565">
        <f>SUM(AB8:AB11)</f>
        <v>109675</v>
      </c>
      <c r="AC12" s="499">
        <f>SUM(AC8:AC11)</f>
        <v>172720.84999999998</v>
      </c>
      <c r="AE12" s="475" t="s">
        <v>34</v>
      </c>
      <c r="AF12" s="470"/>
      <c r="AG12" s="528">
        <f>SUM(AG8:AG11)</f>
        <v>287000</v>
      </c>
      <c r="AH12" s="565">
        <f>SUM(AH8:AH11)</f>
        <v>91053</v>
      </c>
      <c r="AI12" s="499">
        <f>SUM(AI8:AI11)</f>
        <v>263773.85</v>
      </c>
      <c r="AK12" s="475" t="s">
        <v>34</v>
      </c>
      <c r="AL12" s="470"/>
      <c r="AM12" s="528">
        <f>SUM(AM8:AM11)</f>
        <v>287000</v>
      </c>
      <c r="AN12" s="565">
        <f>SUM(AN8:AN11)</f>
        <v>30369</v>
      </c>
      <c r="AO12" s="499">
        <f>SUM(AO8:AO11)</f>
        <v>294142.85</v>
      </c>
      <c r="AQ12" s="475" t="s">
        <v>34</v>
      </c>
      <c r="AR12" s="470"/>
      <c r="AS12" s="528">
        <f>SUM(AS8:AS11)</f>
        <v>287000</v>
      </c>
      <c r="AT12" s="565">
        <f>SUM(AT8:AT11)</f>
        <v>14333</v>
      </c>
      <c r="AU12" s="499">
        <f>SUM(AU8:AU11)</f>
        <v>308475.85</v>
      </c>
      <c r="AW12" s="475" t="s">
        <v>34</v>
      </c>
      <c r="AX12" s="470"/>
      <c r="AY12" s="528">
        <f>SUM(AY8:AY11)</f>
        <v>287000</v>
      </c>
      <c r="AZ12" s="565">
        <f>SUM(AZ8:AZ11)</f>
        <v>6121</v>
      </c>
      <c r="BA12" s="499">
        <f>SUM(BA8:BA11)</f>
        <v>314596.85</v>
      </c>
      <c r="BC12" s="475" t="s">
        <v>34</v>
      </c>
      <c r="BD12" s="470"/>
      <c r="BE12" s="528">
        <f>SUM(BE8:BE11)</f>
        <v>287000</v>
      </c>
      <c r="BF12" s="565">
        <f>SUM(BF8:BF11)</f>
        <v>3217</v>
      </c>
      <c r="BG12" s="499">
        <f>SUM(BG8:BG11)</f>
        <v>317813.85</v>
      </c>
      <c r="BI12" s="475" t="s">
        <v>34</v>
      </c>
      <c r="BJ12" s="470"/>
      <c r="BK12" s="528">
        <f>SUM(BK8:BK11)</f>
        <v>287000</v>
      </c>
      <c r="BL12" s="565">
        <f>SUM(BL8:BL11)</f>
        <v>3270</v>
      </c>
      <c r="BM12" s="499">
        <f>SUM(BM8:BM11)</f>
        <v>321083.85</v>
      </c>
      <c r="BN12" s="611"/>
      <c r="BO12" s="475" t="s">
        <v>34</v>
      </c>
      <c r="BP12" s="470"/>
      <c r="BQ12" s="528">
        <f>SUM(BQ8:BQ11)</f>
        <v>287000</v>
      </c>
      <c r="BR12" s="565">
        <f>SUM(BR8:BR11)</f>
        <v>2993</v>
      </c>
      <c r="BS12" s="499">
        <f>SUM(BS8:BS11)</f>
        <v>324076.85</v>
      </c>
    </row>
    <row r="13" spans="1:71" ht="24">
      <c r="A13" s="467" t="s">
        <v>746</v>
      </c>
      <c r="B13" s="468">
        <v>412000</v>
      </c>
      <c r="C13" s="536">
        <v>403000</v>
      </c>
      <c r="D13" s="543"/>
      <c r="E13" s="473"/>
      <c r="F13" s="466"/>
      <c r="G13" s="467" t="s">
        <v>746</v>
      </c>
      <c r="H13" s="468">
        <v>412000</v>
      </c>
      <c r="I13" s="536">
        <v>403000</v>
      </c>
      <c r="J13" s="563"/>
      <c r="K13" s="473"/>
      <c r="M13" s="467" t="s">
        <v>746</v>
      </c>
      <c r="N13" s="468">
        <v>412000</v>
      </c>
      <c r="O13" s="536">
        <v>403000</v>
      </c>
      <c r="P13" s="563"/>
      <c r="Q13" s="473"/>
      <c r="S13" s="467" t="s">
        <v>746</v>
      </c>
      <c r="T13" s="468">
        <v>412000</v>
      </c>
      <c r="U13" s="536">
        <v>403000</v>
      </c>
      <c r="V13" s="563"/>
      <c r="W13" s="473"/>
      <c r="Y13" s="467" t="s">
        <v>746</v>
      </c>
      <c r="Z13" s="468">
        <v>412000</v>
      </c>
      <c r="AA13" s="536">
        <v>403000</v>
      </c>
      <c r="AB13" s="563"/>
      <c r="AC13" s="473"/>
      <c r="AE13" s="467" t="s">
        <v>746</v>
      </c>
      <c r="AF13" s="468">
        <v>412000</v>
      </c>
      <c r="AG13" s="536">
        <v>403000</v>
      </c>
      <c r="AH13" s="563"/>
      <c r="AI13" s="473"/>
      <c r="AK13" s="467" t="s">
        <v>746</v>
      </c>
      <c r="AL13" s="468">
        <v>412000</v>
      </c>
      <c r="AM13" s="536">
        <v>403000</v>
      </c>
      <c r="AN13" s="563"/>
      <c r="AO13" s="473"/>
      <c r="AQ13" s="467" t="s">
        <v>746</v>
      </c>
      <c r="AR13" s="468">
        <v>412000</v>
      </c>
      <c r="AS13" s="536">
        <v>403000</v>
      </c>
      <c r="AT13" s="563"/>
      <c r="AU13" s="473"/>
      <c r="AW13" s="467" t="s">
        <v>746</v>
      </c>
      <c r="AX13" s="468">
        <v>412000</v>
      </c>
      <c r="AY13" s="536">
        <v>403000</v>
      </c>
      <c r="AZ13" s="563"/>
      <c r="BA13" s="473"/>
      <c r="BC13" s="467" t="s">
        <v>746</v>
      </c>
      <c r="BD13" s="468">
        <v>412000</v>
      </c>
      <c r="BE13" s="536">
        <v>403000</v>
      </c>
      <c r="BF13" s="563"/>
      <c r="BG13" s="473"/>
      <c r="BI13" s="467" t="s">
        <v>746</v>
      </c>
      <c r="BJ13" s="468">
        <v>412000</v>
      </c>
      <c r="BK13" s="536">
        <v>403000</v>
      </c>
      <c r="BL13" s="563"/>
      <c r="BM13" s="473"/>
      <c r="BO13" s="467" t="s">
        <v>746</v>
      </c>
      <c r="BP13" s="468">
        <v>412000</v>
      </c>
      <c r="BQ13" s="536">
        <v>403000</v>
      </c>
      <c r="BR13" s="563"/>
      <c r="BS13" s="473"/>
    </row>
    <row r="14" spans="1:71" ht="24">
      <c r="A14" s="464" t="s">
        <v>747</v>
      </c>
      <c r="B14" s="468">
        <v>412101</v>
      </c>
      <c r="C14" s="527">
        <v>3000</v>
      </c>
      <c r="D14" s="487"/>
      <c r="E14" s="473">
        <f aca="true" t="shared" si="0" ref="E14:E65">+D14</f>
        <v>0</v>
      </c>
      <c r="F14" s="466"/>
      <c r="G14" s="464" t="s">
        <v>747</v>
      </c>
      <c r="H14" s="468">
        <v>412101</v>
      </c>
      <c r="I14" s="527">
        <v>3000</v>
      </c>
      <c r="J14" s="566"/>
      <c r="K14" s="473">
        <f aca="true" t="shared" si="1" ref="K14:K65">+D14+J14</f>
        <v>0</v>
      </c>
      <c r="M14" s="464" t="s">
        <v>747</v>
      </c>
      <c r="N14" s="468">
        <v>412101</v>
      </c>
      <c r="O14" s="527">
        <v>3000</v>
      </c>
      <c r="P14" s="566"/>
      <c r="Q14" s="473">
        <f aca="true" t="shared" si="2" ref="Q14:Q65">+D14+J14+P14</f>
        <v>0</v>
      </c>
      <c r="S14" s="464" t="s">
        <v>747</v>
      </c>
      <c r="T14" s="468">
        <v>412101</v>
      </c>
      <c r="U14" s="527">
        <v>3000</v>
      </c>
      <c r="V14" s="566"/>
      <c r="W14" s="473">
        <f aca="true" t="shared" si="3" ref="W14:W65">+D14+J14+P14+V14</f>
        <v>0</v>
      </c>
      <c r="Y14" s="464" t="s">
        <v>747</v>
      </c>
      <c r="Z14" s="468">
        <v>412101</v>
      </c>
      <c r="AA14" s="527">
        <v>3000</v>
      </c>
      <c r="AB14" s="566"/>
      <c r="AC14" s="473">
        <f aca="true" t="shared" si="4" ref="AC14:AC65">+J14+P14+V14+AB14+D14</f>
        <v>0</v>
      </c>
      <c r="AE14" s="464" t="s">
        <v>747</v>
      </c>
      <c r="AF14" s="468">
        <v>412101</v>
      </c>
      <c r="AG14" s="527">
        <v>3000</v>
      </c>
      <c r="AH14" s="566"/>
      <c r="AI14" s="473">
        <f aca="true" t="shared" si="5" ref="AI14:AI65">+P14+V14+AB14+AH14+J14+D14</f>
        <v>0</v>
      </c>
      <c r="AK14" s="464" t="s">
        <v>747</v>
      </c>
      <c r="AL14" s="468">
        <v>412101</v>
      </c>
      <c r="AM14" s="527">
        <v>3000</v>
      </c>
      <c r="AN14" s="566"/>
      <c r="AO14" s="473">
        <f aca="true" t="shared" si="6" ref="AO14:AO65">+V14+AB14+AH14+AN14+P14+J14+D14</f>
        <v>0</v>
      </c>
      <c r="AQ14" s="464" t="s">
        <v>747</v>
      </c>
      <c r="AR14" s="468">
        <v>412101</v>
      </c>
      <c r="AS14" s="527">
        <v>3000</v>
      </c>
      <c r="AT14" s="566"/>
      <c r="AU14" s="473">
        <f aca="true" t="shared" si="7" ref="AU14:AU65">+AB14+AH14+AN14+AT14+V14+P14+J14+D14</f>
        <v>0</v>
      </c>
      <c r="AW14" s="464" t="s">
        <v>747</v>
      </c>
      <c r="AX14" s="468">
        <v>412101</v>
      </c>
      <c r="AY14" s="527">
        <v>3000</v>
      </c>
      <c r="AZ14" s="566"/>
      <c r="BA14" s="473">
        <f aca="true" t="shared" si="8" ref="BA14:BA65">+AH14+AN14+AT14+AZ14+AB14+V14+P14+J14+D14</f>
        <v>0</v>
      </c>
      <c r="BC14" s="464" t="s">
        <v>747</v>
      </c>
      <c r="BD14" s="468">
        <v>412101</v>
      </c>
      <c r="BE14" s="527">
        <v>3000</v>
      </c>
      <c r="BF14" s="566"/>
      <c r="BG14" s="473">
        <f aca="true" t="shared" si="9" ref="BG14:BG65">+AN14+AT14+AZ14+BF14+AH14+AB14+V14+P14+J14+D14</f>
        <v>0</v>
      </c>
      <c r="BI14" s="464" t="s">
        <v>747</v>
      </c>
      <c r="BJ14" s="468">
        <v>412101</v>
      </c>
      <c r="BK14" s="527">
        <v>3000</v>
      </c>
      <c r="BL14" s="566"/>
      <c r="BM14" s="473">
        <f aca="true" t="shared" si="10" ref="BM14:BM62">+AT14+AZ14+BF14+BL14+AN14+AH14+AB14+V14+P14+J14+D14</f>
        <v>0</v>
      </c>
      <c r="BO14" s="464" t="s">
        <v>747</v>
      </c>
      <c r="BP14" s="468">
        <v>412101</v>
      </c>
      <c r="BQ14" s="527">
        <v>3000</v>
      </c>
      <c r="BR14" s="566"/>
      <c r="BS14" s="473">
        <f aca="true" t="shared" si="11" ref="BS14:BS62">+AZ14+BF14+BL14+BR14+AT14+AN14+AH14+AB14+V14+P14+J14+D14</f>
        <v>0</v>
      </c>
    </row>
    <row r="15" spans="1:71" ht="24" customHeight="1" hidden="1">
      <c r="A15" s="464" t="s">
        <v>748</v>
      </c>
      <c r="B15" s="468">
        <v>412102</v>
      </c>
      <c r="C15" s="527"/>
      <c r="D15" s="487"/>
      <c r="E15" s="473">
        <f t="shared" si="0"/>
        <v>0</v>
      </c>
      <c r="F15" s="466"/>
      <c r="G15" s="464" t="s">
        <v>748</v>
      </c>
      <c r="H15" s="468">
        <v>412102</v>
      </c>
      <c r="I15" s="527"/>
      <c r="J15" s="566"/>
      <c r="K15" s="473">
        <f t="shared" si="1"/>
        <v>0</v>
      </c>
      <c r="M15" s="464" t="s">
        <v>748</v>
      </c>
      <c r="N15" s="468">
        <v>412102</v>
      </c>
      <c r="O15" s="527"/>
      <c r="P15" s="566"/>
      <c r="Q15" s="473">
        <f t="shared" si="2"/>
        <v>0</v>
      </c>
      <c r="S15" s="464" t="s">
        <v>748</v>
      </c>
      <c r="T15" s="468">
        <v>412102</v>
      </c>
      <c r="U15" s="527"/>
      <c r="V15" s="566"/>
      <c r="W15" s="473">
        <f t="shared" si="3"/>
        <v>0</v>
      </c>
      <c r="Y15" s="464" t="s">
        <v>748</v>
      </c>
      <c r="Z15" s="468">
        <v>412102</v>
      </c>
      <c r="AA15" s="527"/>
      <c r="AB15" s="566"/>
      <c r="AC15" s="473">
        <f t="shared" si="4"/>
        <v>0</v>
      </c>
      <c r="AE15" s="464" t="s">
        <v>748</v>
      </c>
      <c r="AF15" s="468">
        <v>412102</v>
      </c>
      <c r="AG15" s="527"/>
      <c r="AH15" s="566"/>
      <c r="AI15" s="473">
        <f t="shared" si="5"/>
        <v>0</v>
      </c>
      <c r="AK15" s="464" t="s">
        <v>748</v>
      </c>
      <c r="AL15" s="468">
        <v>412102</v>
      </c>
      <c r="AM15" s="527"/>
      <c r="AN15" s="566"/>
      <c r="AO15" s="473">
        <f t="shared" si="6"/>
        <v>0</v>
      </c>
      <c r="AQ15" s="464" t="s">
        <v>748</v>
      </c>
      <c r="AR15" s="468">
        <v>412102</v>
      </c>
      <c r="AS15" s="527"/>
      <c r="AT15" s="566"/>
      <c r="AU15" s="473">
        <f t="shared" si="7"/>
        <v>0</v>
      </c>
      <c r="AW15" s="464" t="s">
        <v>748</v>
      </c>
      <c r="AX15" s="468">
        <v>412102</v>
      </c>
      <c r="AY15" s="527"/>
      <c r="AZ15" s="566"/>
      <c r="BA15" s="473">
        <f t="shared" si="8"/>
        <v>0</v>
      </c>
      <c r="BC15" s="464" t="s">
        <v>748</v>
      </c>
      <c r="BD15" s="468">
        <v>412102</v>
      </c>
      <c r="BE15" s="527"/>
      <c r="BF15" s="566"/>
      <c r="BG15" s="473">
        <f t="shared" si="9"/>
        <v>0</v>
      </c>
      <c r="BI15" s="464" t="s">
        <v>748</v>
      </c>
      <c r="BJ15" s="468">
        <v>412102</v>
      </c>
      <c r="BK15" s="527"/>
      <c r="BL15" s="566"/>
      <c r="BM15" s="473">
        <f t="shared" si="10"/>
        <v>0</v>
      </c>
      <c r="BO15" s="464" t="s">
        <v>748</v>
      </c>
      <c r="BP15" s="468">
        <v>412102</v>
      </c>
      <c r="BQ15" s="527"/>
      <c r="BR15" s="566"/>
      <c r="BS15" s="473">
        <f t="shared" si="11"/>
        <v>0</v>
      </c>
    </row>
    <row r="16" spans="1:71" ht="24">
      <c r="A16" s="464" t="s">
        <v>749</v>
      </c>
      <c r="B16" s="468">
        <v>412103</v>
      </c>
      <c r="C16" s="527">
        <v>2000</v>
      </c>
      <c r="D16" s="487">
        <v>19.4</v>
      </c>
      <c r="E16" s="473">
        <f t="shared" si="0"/>
        <v>19.4</v>
      </c>
      <c r="F16" s="466"/>
      <c r="G16" s="464" t="s">
        <v>749</v>
      </c>
      <c r="H16" s="468">
        <v>412103</v>
      </c>
      <c r="I16" s="527">
        <v>2000</v>
      </c>
      <c r="J16" s="566">
        <v>19.4</v>
      </c>
      <c r="K16" s="473">
        <f t="shared" si="1"/>
        <v>38.8</v>
      </c>
      <c r="M16" s="464" t="s">
        <v>749</v>
      </c>
      <c r="N16" s="468">
        <v>412103</v>
      </c>
      <c r="O16" s="527">
        <v>2000</v>
      </c>
      <c r="P16" s="566">
        <v>523.8</v>
      </c>
      <c r="Q16" s="473">
        <f t="shared" si="2"/>
        <v>562.5999999999999</v>
      </c>
      <c r="S16" s="464" t="s">
        <v>749</v>
      </c>
      <c r="T16" s="468">
        <v>412103</v>
      </c>
      <c r="U16" s="527">
        <v>2000</v>
      </c>
      <c r="V16" s="566">
        <v>485</v>
      </c>
      <c r="W16" s="473">
        <f t="shared" si="3"/>
        <v>1047.6</v>
      </c>
      <c r="Y16" s="464" t="s">
        <v>749</v>
      </c>
      <c r="Z16" s="468">
        <v>412103</v>
      </c>
      <c r="AA16" s="527">
        <v>2000</v>
      </c>
      <c r="AB16" s="566">
        <v>562.6</v>
      </c>
      <c r="AC16" s="473">
        <f t="shared" si="4"/>
        <v>1610.1999999999998</v>
      </c>
      <c r="AE16" s="464" t="s">
        <v>749</v>
      </c>
      <c r="AF16" s="468">
        <v>412103</v>
      </c>
      <c r="AG16" s="527">
        <v>2000</v>
      </c>
      <c r="AH16" s="566">
        <v>155.2</v>
      </c>
      <c r="AI16" s="473">
        <f t="shared" si="5"/>
        <v>1765.4000000000003</v>
      </c>
      <c r="AK16" s="464" t="s">
        <v>749</v>
      </c>
      <c r="AL16" s="468">
        <v>412103</v>
      </c>
      <c r="AM16" s="527">
        <v>2000</v>
      </c>
      <c r="AN16" s="566"/>
      <c r="AO16" s="473">
        <f t="shared" si="6"/>
        <v>1765.4</v>
      </c>
      <c r="AQ16" s="464" t="s">
        <v>749</v>
      </c>
      <c r="AR16" s="468">
        <v>412103</v>
      </c>
      <c r="AS16" s="527">
        <v>2000</v>
      </c>
      <c r="AT16" s="566">
        <v>213.4</v>
      </c>
      <c r="AU16" s="473">
        <f t="shared" si="7"/>
        <v>1978.8</v>
      </c>
      <c r="AW16" s="464" t="s">
        <v>749</v>
      </c>
      <c r="AX16" s="468">
        <v>412103</v>
      </c>
      <c r="AY16" s="527">
        <v>2000</v>
      </c>
      <c r="AZ16" s="566">
        <v>19.4</v>
      </c>
      <c r="BA16" s="473">
        <f t="shared" si="8"/>
        <v>1998.2</v>
      </c>
      <c r="BC16" s="464" t="s">
        <v>749</v>
      </c>
      <c r="BD16" s="468">
        <v>412103</v>
      </c>
      <c r="BE16" s="527">
        <v>2000</v>
      </c>
      <c r="BF16" s="566">
        <v>58.2</v>
      </c>
      <c r="BG16" s="473">
        <f t="shared" si="9"/>
        <v>2056.4</v>
      </c>
      <c r="BI16" s="464" t="s">
        <v>749</v>
      </c>
      <c r="BJ16" s="468">
        <v>412103</v>
      </c>
      <c r="BK16" s="527">
        <v>2000</v>
      </c>
      <c r="BL16" s="566">
        <v>19.4</v>
      </c>
      <c r="BM16" s="473">
        <f t="shared" si="10"/>
        <v>2075.8</v>
      </c>
      <c r="BO16" s="464" t="s">
        <v>749</v>
      </c>
      <c r="BP16" s="468">
        <v>412103</v>
      </c>
      <c r="BQ16" s="527">
        <v>2000</v>
      </c>
      <c r="BR16" s="566">
        <v>19.4</v>
      </c>
      <c r="BS16" s="473">
        <f t="shared" si="11"/>
        <v>2095.2</v>
      </c>
    </row>
    <row r="17" spans="1:71" ht="24">
      <c r="A17" s="464" t="s">
        <v>750</v>
      </c>
      <c r="B17" s="468">
        <v>412104</v>
      </c>
      <c r="C17" s="527">
        <v>500</v>
      </c>
      <c r="D17" s="487">
        <v>20</v>
      </c>
      <c r="E17" s="473">
        <f t="shared" si="0"/>
        <v>20</v>
      </c>
      <c r="F17" s="466"/>
      <c r="G17" s="464" t="s">
        <v>750</v>
      </c>
      <c r="H17" s="468">
        <v>412104</v>
      </c>
      <c r="I17" s="527">
        <v>500</v>
      </c>
      <c r="J17" s="566"/>
      <c r="K17" s="473">
        <f t="shared" si="1"/>
        <v>20</v>
      </c>
      <c r="M17" s="464" t="s">
        <v>750</v>
      </c>
      <c r="N17" s="468">
        <v>412104</v>
      </c>
      <c r="O17" s="527">
        <v>500</v>
      </c>
      <c r="P17" s="566"/>
      <c r="Q17" s="473">
        <f t="shared" si="2"/>
        <v>20</v>
      </c>
      <c r="S17" s="464" t="s">
        <v>750</v>
      </c>
      <c r="T17" s="468">
        <v>412104</v>
      </c>
      <c r="U17" s="527">
        <v>500</v>
      </c>
      <c r="V17" s="566"/>
      <c r="W17" s="473">
        <f t="shared" si="3"/>
        <v>20</v>
      </c>
      <c r="Y17" s="464" t="s">
        <v>750</v>
      </c>
      <c r="Z17" s="468">
        <v>412104</v>
      </c>
      <c r="AA17" s="527">
        <v>500</v>
      </c>
      <c r="AB17" s="566"/>
      <c r="AC17" s="473">
        <f t="shared" si="4"/>
        <v>20</v>
      </c>
      <c r="AE17" s="464" t="s">
        <v>750</v>
      </c>
      <c r="AF17" s="468">
        <v>412104</v>
      </c>
      <c r="AG17" s="527">
        <v>500</v>
      </c>
      <c r="AH17" s="566">
        <v>20</v>
      </c>
      <c r="AI17" s="473">
        <f t="shared" si="5"/>
        <v>40</v>
      </c>
      <c r="AK17" s="464" t="s">
        <v>750</v>
      </c>
      <c r="AL17" s="468">
        <v>412104</v>
      </c>
      <c r="AM17" s="527">
        <v>500</v>
      </c>
      <c r="AN17" s="566"/>
      <c r="AO17" s="473">
        <f t="shared" si="6"/>
        <v>40</v>
      </c>
      <c r="AQ17" s="464" t="s">
        <v>750</v>
      </c>
      <c r="AR17" s="468">
        <v>412104</v>
      </c>
      <c r="AS17" s="527">
        <v>500</v>
      </c>
      <c r="AT17" s="566"/>
      <c r="AU17" s="473">
        <f t="shared" si="7"/>
        <v>40</v>
      </c>
      <c r="AW17" s="464" t="s">
        <v>750</v>
      </c>
      <c r="AX17" s="468">
        <v>412104</v>
      </c>
      <c r="AY17" s="527">
        <v>500</v>
      </c>
      <c r="AZ17" s="566"/>
      <c r="BA17" s="473">
        <f t="shared" si="8"/>
        <v>40</v>
      </c>
      <c r="BC17" s="464" t="s">
        <v>750</v>
      </c>
      <c r="BD17" s="468">
        <v>412104</v>
      </c>
      <c r="BE17" s="527">
        <v>500</v>
      </c>
      <c r="BF17" s="566"/>
      <c r="BG17" s="473">
        <f t="shared" si="9"/>
        <v>40</v>
      </c>
      <c r="BI17" s="464" t="s">
        <v>750</v>
      </c>
      <c r="BJ17" s="468">
        <v>412104</v>
      </c>
      <c r="BK17" s="527">
        <v>500</v>
      </c>
      <c r="BL17" s="566"/>
      <c r="BM17" s="473">
        <f t="shared" si="10"/>
        <v>40</v>
      </c>
      <c r="BO17" s="464" t="s">
        <v>750</v>
      </c>
      <c r="BP17" s="468">
        <v>412104</v>
      </c>
      <c r="BQ17" s="527">
        <v>500</v>
      </c>
      <c r="BR17" s="566">
        <v>20</v>
      </c>
      <c r="BS17" s="473">
        <f t="shared" si="11"/>
        <v>60</v>
      </c>
    </row>
    <row r="18" spans="1:71" ht="24" customHeight="1" hidden="1">
      <c r="A18" s="464" t="s">
        <v>751</v>
      </c>
      <c r="B18" s="468">
        <v>412105</v>
      </c>
      <c r="C18" s="527"/>
      <c r="D18" s="487"/>
      <c r="E18" s="473">
        <f t="shared" si="0"/>
        <v>0</v>
      </c>
      <c r="F18" s="466"/>
      <c r="G18" s="464" t="s">
        <v>751</v>
      </c>
      <c r="H18" s="468">
        <v>412105</v>
      </c>
      <c r="I18" s="527"/>
      <c r="J18" s="566"/>
      <c r="K18" s="473">
        <f t="shared" si="1"/>
        <v>0</v>
      </c>
      <c r="M18" s="464" t="s">
        <v>751</v>
      </c>
      <c r="N18" s="468">
        <v>412105</v>
      </c>
      <c r="O18" s="527"/>
      <c r="P18" s="566"/>
      <c r="Q18" s="473">
        <f t="shared" si="2"/>
        <v>0</v>
      </c>
      <c r="S18" s="464" t="s">
        <v>751</v>
      </c>
      <c r="T18" s="468">
        <v>412105</v>
      </c>
      <c r="U18" s="527"/>
      <c r="V18" s="566"/>
      <c r="W18" s="473">
        <f t="shared" si="3"/>
        <v>0</v>
      </c>
      <c r="Y18" s="464" t="s">
        <v>751</v>
      </c>
      <c r="Z18" s="468">
        <v>412105</v>
      </c>
      <c r="AA18" s="527"/>
      <c r="AB18" s="566"/>
      <c r="AC18" s="473">
        <f t="shared" si="4"/>
        <v>0</v>
      </c>
      <c r="AE18" s="464" t="s">
        <v>751</v>
      </c>
      <c r="AF18" s="468">
        <v>412105</v>
      </c>
      <c r="AG18" s="527"/>
      <c r="AH18" s="566"/>
      <c r="AI18" s="473">
        <f t="shared" si="5"/>
        <v>0</v>
      </c>
      <c r="AK18" s="464" t="s">
        <v>751</v>
      </c>
      <c r="AL18" s="468">
        <v>412105</v>
      </c>
      <c r="AM18" s="527"/>
      <c r="AN18" s="566"/>
      <c r="AO18" s="473">
        <f t="shared" si="6"/>
        <v>0</v>
      </c>
      <c r="AQ18" s="464" t="s">
        <v>751</v>
      </c>
      <c r="AR18" s="468">
        <v>412105</v>
      </c>
      <c r="AS18" s="527"/>
      <c r="AT18" s="566"/>
      <c r="AU18" s="473">
        <f t="shared" si="7"/>
        <v>0</v>
      </c>
      <c r="AW18" s="464" t="s">
        <v>751</v>
      </c>
      <c r="AX18" s="468">
        <v>412105</v>
      </c>
      <c r="AY18" s="527"/>
      <c r="AZ18" s="566"/>
      <c r="BA18" s="473">
        <f t="shared" si="8"/>
        <v>0</v>
      </c>
      <c r="BC18" s="464" t="s">
        <v>751</v>
      </c>
      <c r="BD18" s="468">
        <v>412105</v>
      </c>
      <c r="BE18" s="527"/>
      <c r="BF18" s="566"/>
      <c r="BG18" s="473">
        <f t="shared" si="9"/>
        <v>0</v>
      </c>
      <c r="BI18" s="464" t="s">
        <v>751</v>
      </c>
      <c r="BJ18" s="468">
        <v>412105</v>
      </c>
      <c r="BK18" s="527"/>
      <c r="BL18" s="566"/>
      <c r="BM18" s="473">
        <f t="shared" si="10"/>
        <v>0</v>
      </c>
      <c r="BO18" s="464" t="s">
        <v>751</v>
      </c>
      <c r="BP18" s="468">
        <v>412105</v>
      </c>
      <c r="BQ18" s="527"/>
      <c r="BR18" s="566"/>
      <c r="BS18" s="473">
        <f t="shared" si="11"/>
        <v>0</v>
      </c>
    </row>
    <row r="19" spans="1:71" ht="24" customHeight="1" hidden="1">
      <c r="A19" s="464" t="s">
        <v>752</v>
      </c>
      <c r="B19" s="468">
        <v>412106</v>
      </c>
      <c r="C19" s="527"/>
      <c r="D19" s="487"/>
      <c r="E19" s="473">
        <f t="shared" si="0"/>
        <v>0</v>
      </c>
      <c r="F19" s="466"/>
      <c r="G19" s="464" t="s">
        <v>752</v>
      </c>
      <c r="H19" s="468">
        <v>412106</v>
      </c>
      <c r="I19" s="527"/>
      <c r="J19" s="566"/>
      <c r="K19" s="473">
        <f t="shared" si="1"/>
        <v>0</v>
      </c>
      <c r="M19" s="464" t="s">
        <v>752</v>
      </c>
      <c r="N19" s="468">
        <v>412106</v>
      </c>
      <c r="O19" s="527"/>
      <c r="P19" s="566"/>
      <c r="Q19" s="473">
        <f t="shared" si="2"/>
        <v>0</v>
      </c>
      <c r="S19" s="464" t="s">
        <v>752</v>
      </c>
      <c r="T19" s="468">
        <v>412106</v>
      </c>
      <c r="U19" s="527"/>
      <c r="V19" s="566"/>
      <c r="W19" s="473">
        <f t="shared" si="3"/>
        <v>0</v>
      </c>
      <c r="Y19" s="464" t="s">
        <v>752</v>
      </c>
      <c r="Z19" s="468">
        <v>412106</v>
      </c>
      <c r="AA19" s="527"/>
      <c r="AB19" s="566"/>
      <c r="AC19" s="473">
        <f t="shared" si="4"/>
        <v>0</v>
      </c>
      <c r="AE19" s="464" t="s">
        <v>752</v>
      </c>
      <c r="AF19" s="468">
        <v>412106</v>
      </c>
      <c r="AG19" s="527"/>
      <c r="AH19" s="566"/>
      <c r="AI19" s="473">
        <f t="shared" si="5"/>
        <v>0</v>
      </c>
      <c r="AK19" s="464" t="s">
        <v>752</v>
      </c>
      <c r="AL19" s="468">
        <v>412106</v>
      </c>
      <c r="AM19" s="527"/>
      <c r="AN19" s="566"/>
      <c r="AO19" s="473">
        <f t="shared" si="6"/>
        <v>0</v>
      </c>
      <c r="AQ19" s="464" t="s">
        <v>752</v>
      </c>
      <c r="AR19" s="468">
        <v>412106</v>
      </c>
      <c r="AS19" s="527"/>
      <c r="AT19" s="566"/>
      <c r="AU19" s="473">
        <f t="shared" si="7"/>
        <v>0</v>
      </c>
      <c r="AW19" s="464" t="s">
        <v>752</v>
      </c>
      <c r="AX19" s="468">
        <v>412106</v>
      </c>
      <c r="AY19" s="527"/>
      <c r="AZ19" s="566"/>
      <c r="BA19" s="473">
        <f t="shared" si="8"/>
        <v>0</v>
      </c>
      <c r="BC19" s="464" t="s">
        <v>752</v>
      </c>
      <c r="BD19" s="468">
        <v>412106</v>
      </c>
      <c r="BE19" s="527"/>
      <c r="BF19" s="566"/>
      <c r="BG19" s="473">
        <f t="shared" si="9"/>
        <v>0</v>
      </c>
      <c r="BI19" s="464" t="s">
        <v>752</v>
      </c>
      <c r="BJ19" s="468">
        <v>412106</v>
      </c>
      <c r="BK19" s="527"/>
      <c r="BL19" s="566"/>
      <c r="BM19" s="473">
        <f t="shared" si="10"/>
        <v>0</v>
      </c>
      <c r="BO19" s="464" t="s">
        <v>752</v>
      </c>
      <c r="BP19" s="468">
        <v>412106</v>
      </c>
      <c r="BQ19" s="527"/>
      <c r="BR19" s="566"/>
      <c r="BS19" s="473">
        <f t="shared" si="11"/>
        <v>0</v>
      </c>
    </row>
    <row r="20" spans="1:71" ht="24">
      <c r="A20" s="464" t="s">
        <v>753</v>
      </c>
      <c r="B20" s="468">
        <v>412107</v>
      </c>
      <c r="C20" s="527">
        <v>280000</v>
      </c>
      <c r="D20" s="487">
        <v>1320</v>
      </c>
      <c r="E20" s="473">
        <f t="shared" si="0"/>
        <v>1320</v>
      </c>
      <c r="F20" s="466"/>
      <c r="G20" s="464" t="s">
        <v>753</v>
      </c>
      <c r="H20" s="468">
        <v>412107</v>
      </c>
      <c r="I20" s="527">
        <v>280000</v>
      </c>
      <c r="J20" s="566">
        <v>590</v>
      </c>
      <c r="K20" s="473">
        <f t="shared" si="1"/>
        <v>1910</v>
      </c>
      <c r="M20" s="464" t="s">
        <v>753</v>
      </c>
      <c r="N20" s="468">
        <v>412107</v>
      </c>
      <c r="O20" s="527">
        <v>280000</v>
      </c>
      <c r="P20" s="566">
        <v>400</v>
      </c>
      <c r="Q20" s="473">
        <f t="shared" si="2"/>
        <v>2310</v>
      </c>
      <c r="S20" s="464" t="s">
        <v>753</v>
      </c>
      <c r="T20" s="468">
        <v>412107</v>
      </c>
      <c r="U20" s="527">
        <v>280000</v>
      </c>
      <c r="V20" s="566">
        <v>750</v>
      </c>
      <c r="W20" s="473">
        <f t="shared" si="3"/>
        <v>3060</v>
      </c>
      <c r="Y20" s="464" t="s">
        <v>753</v>
      </c>
      <c r="Z20" s="468">
        <v>412107</v>
      </c>
      <c r="AA20" s="527">
        <v>280000</v>
      </c>
      <c r="AB20" s="566">
        <f>55060+4520</f>
        <v>59580</v>
      </c>
      <c r="AC20" s="473">
        <f t="shared" si="4"/>
        <v>62640</v>
      </c>
      <c r="AE20" s="464" t="s">
        <v>753</v>
      </c>
      <c r="AF20" s="468">
        <v>412107</v>
      </c>
      <c r="AG20" s="527">
        <v>280000</v>
      </c>
      <c r="AH20" s="566">
        <v>31420</v>
      </c>
      <c r="AI20" s="473">
        <f t="shared" si="5"/>
        <v>94060</v>
      </c>
      <c r="AK20" s="464" t="s">
        <v>753</v>
      </c>
      <c r="AL20" s="468">
        <v>412107</v>
      </c>
      <c r="AM20" s="527">
        <v>280000</v>
      </c>
      <c r="AN20" s="566">
        <v>17410</v>
      </c>
      <c r="AO20" s="473">
        <f t="shared" si="6"/>
        <v>111470</v>
      </c>
      <c r="AQ20" s="464" t="s">
        <v>753</v>
      </c>
      <c r="AR20" s="468">
        <v>412107</v>
      </c>
      <c r="AS20" s="527">
        <v>280000</v>
      </c>
      <c r="AT20" s="566">
        <v>11570</v>
      </c>
      <c r="AU20" s="473">
        <f t="shared" si="7"/>
        <v>123040</v>
      </c>
      <c r="AW20" s="464" t="s">
        <v>753</v>
      </c>
      <c r="AX20" s="468">
        <v>412107</v>
      </c>
      <c r="AY20" s="527">
        <v>280000</v>
      </c>
      <c r="AZ20" s="566">
        <f>27470+330</f>
        <v>27800</v>
      </c>
      <c r="BA20" s="617">
        <f>+AH20+AN20+AT20+AZ20+AB20+V20+P20+J20+D20</f>
        <v>150840</v>
      </c>
      <c r="BC20" s="464" t="s">
        <v>753</v>
      </c>
      <c r="BD20" s="468">
        <v>412107</v>
      </c>
      <c r="BE20" s="527">
        <v>280000</v>
      </c>
      <c r="BF20" s="566">
        <v>33500</v>
      </c>
      <c r="BG20" s="473">
        <f t="shared" si="9"/>
        <v>184340</v>
      </c>
      <c r="BH20" s="535"/>
      <c r="BI20" s="464" t="s">
        <v>753</v>
      </c>
      <c r="BJ20" s="468">
        <v>412107</v>
      </c>
      <c r="BK20" s="527">
        <v>280000</v>
      </c>
      <c r="BL20" s="566">
        <v>14170</v>
      </c>
      <c r="BM20" s="473">
        <f t="shared" si="10"/>
        <v>198510</v>
      </c>
      <c r="BO20" s="464" t="s">
        <v>753</v>
      </c>
      <c r="BP20" s="468">
        <v>412107</v>
      </c>
      <c r="BQ20" s="527">
        <v>280000</v>
      </c>
      <c r="BR20" s="566">
        <v>2350</v>
      </c>
      <c r="BS20" s="473">
        <f t="shared" si="11"/>
        <v>200860</v>
      </c>
    </row>
    <row r="21" spans="1:71" ht="24">
      <c r="A21" s="464" t="s">
        <v>754</v>
      </c>
      <c r="B21" s="468">
        <v>412108</v>
      </c>
      <c r="C21" s="527">
        <v>6000</v>
      </c>
      <c r="D21" s="487">
        <v>2000</v>
      </c>
      <c r="E21" s="473">
        <f t="shared" si="0"/>
        <v>2000</v>
      </c>
      <c r="F21" s="466"/>
      <c r="G21" s="464" t="s">
        <v>754</v>
      </c>
      <c r="H21" s="468">
        <v>412108</v>
      </c>
      <c r="I21" s="527">
        <v>6000</v>
      </c>
      <c r="J21" s="566"/>
      <c r="K21" s="473">
        <f t="shared" si="1"/>
        <v>2000</v>
      </c>
      <c r="M21" s="464" t="s">
        <v>754</v>
      </c>
      <c r="N21" s="468">
        <v>412108</v>
      </c>
      <c r="O21" s="527">
        <v>6000</v>
      </c>
      <c r="P21" s="566"/>
      <c r="Q21" s="473">
        <f t="shared" si="2"/>
        <v>2000</v>
      </c>
      <c r="S21" s="464" t="s">
        <v>754</v>
      </c>
      <c r="T21" s="468">
        <v>412108</v>
      </c>
      <c r="U21" s="527">
        <v>6000</v>
      </c>
      <c r="V21" s="566"/>
      <c r="W21" s="473">
        <f t="shared" si="3"/>
        <v>2000</v>
      </c>
      <c r="Y21" s="464" t="s">
        <v>754</v>
      </c>
      <c r="Z21" s="468">
        <v>412108</v>
      </c>
      <c r="AA21" s="527">
        <v>6000</v>
      </c>
      <c r="AB21" s="566">
        <v>2000</v>
      </c>
      <c r="AC21" s="473">
        <f t="shared" si="4"/>
        <v>4000</v>
      </c>
      <c r="AE21" s="464" t="s">
        <v>754</v>
      </c>
      <c r="AF21" s="468">
        <v>412108</v>
      </c>
      <c r="AG21" s="527">
        <v>6000</v>
      </c>
      <c r="AH21" s="566"/>
      <c r="AI21" s="473">
        <f t="shared" si="5"/>
        <v>4000</v>
      </c>
      <c r="AK21" s="464" t="s">
        <v>754</v>
      </c>
      <c r="AL21" s="468">
        <v>412108</v>
      </c>
      <c r="AM21" s="527">
        <v>6000</v>
      </c>
      <c r="AN21" s="566"/>
      <c r="AO21" s="473">
        <f t="shared" si="6"/>
        <v>4000</v>
      </c>
      <c r="AQ21" s="464" t="s">
        <v>754</v>
      </c>
      <c r="AR21" s="468">
        <v>412108</v>
      </c>
      <c r="AS21" s="527">
        <v>6000</v>
      </c>
      <c r="AT21" s="566"/>
      <c r="AU21" s="473">
        <f t="shared" si="7"/>
        <v>4000</v>
      </c>
      <c r="AW21" s="464" t="s">
        <v>754</v>
      </c>
      <c r="AX21" s="468">
        <v>412108</v>
      </c>
      <c r="AY21" s="527">
        <v>6000</v>
      </c>
      <c r="AZ21" s="566">
        <v>2000</v>
      </c>
      <c r="BA21" s="473">
        <f t="shared" si="8"/>
        <v>6000</v>
      </c>
      <c r="BC21" s="464" t="s">
        <v>754</v>
      </c>
      <c r="BD21" s="468">
        <v>412108</v>
      </c>
      <c r="BE21" s="527">
        <v>6000</v>
      </c>
      <c r="BF21" s="566"/>
      <c r="BG21" s="473">
        <f t="shared" si="9"/>
        <v>6000</v>
      </c>
      <c r="BI21" s="464" t="s">
        <v>754</v>
      </c>
      <c r="BJ21" s="468">
        <v>412108</v>
      </c>
      <c r="BK21" s="527">
        <v>6000</v>
      </c>
      <c r="BL21" s="566"/>
      <c r="BM21" s="473">
        <f t="shared" si="10"/>
        <v>6000</v>
      </c>
      <c r="BO21" s="464" t="s">
        <v>754</v>
      </c>
      <c r="BP21" s="468">
        <v>412108</v>
      </c>
      <c r="BQ21" s="527">
        <v>6000</v>
      </c>
      <c r="BR21" s="566"/>
      <c r="BS21" s="473">
        <f t="shared" si="11"/>
        <v>6000</v>
      </c>
    </row>
    <row r="22" spans="1:71" ht="24" customHeight="1" hidden="1">
      <c r="A22" s="464" t="s">
        <v>755</v>
      </c>
      <c r="B22" s="468">
        <v>412109</v>
      </c>
      <c r="C22" s="527"/>
      <c r="D22" s="487"/>
      <c r="E22" s="473">
        <f t="shared" si="0"/>
        <v>0</v>
      </c>
      <c r="F22" s="466"/>
      <c r="G22" s="464" t="s">
        <v>755</v>
      </c>
      <c r="H22" s="468">
        <v>412109</v>
      </c>
      <c r="I22" s="527"/>
      <c r="J22" s="566"/>
      <c r="K22" s="473">
        <f t="shared" si="1"/>
        <v>0</v>
      </c>
      <c r="M22" s="464" t="s">
        <v>755</v>
      </c>
      <c r="N22" s="468">
        <v>412109</v>
      </c>
      <c r="O22" s="527"/>
      <c r="P22" s="566"/>
      <c r="Q22" s="473">
        <f t="shared" si="2"/>
        <v>0</v>
      </c>
      <c r="S22" s="464" t="s">
        <v>755</v>
      </c>
      <c r="T22" s="468">
        <v>412109</v>
      </c>
      <c r="U22" s="527"/>
      <c r="V22" s="566"/>
      <c r="W22" s="473">
        <f t="shared" si="3"/>
        <v>0</v>
      </c>
      <c r="Y22" s="464" t="s">
        <v>755</v>
      </c>
      <c r="Z22" s="468">
        <v>412109</v>
      </c>
      <c r="AA22" s="527"/>
      <c r="AB22" s="566"/>
      <c r="AC22" s="473">
        <f t="shared" si="4"/>
        <v>0</v>
      </c>
      <c r="AE22" s="464" t="s">
        <v>755</v>
      </c>
      <c r="AF22" s="468">
        <v>412109</v>
      </c>
      <c r="AG22" s="527"/>
      <c r="AH22" s="566"/>
      <c r="AI22" s="473">
        <f t="shared" si="5"/>
        <v>0</v>
      </c>
      <c r="AK22" s="464" t="s">
        <v>755</v>
      </c>
      <c r="AL22" s="468">
        <v>412109</v>
      </c>
      <c r="AM22" s="527"/>
      <c r="AN22" s="566"/>
      <c r="AO22" s="473">
        <f t="shared" si="6"/>
        <v>0</v>
      </c>
      <c r="AQ22" s="464" t="s">
        <v>755</v>
      </c>
      <c r="AR22" s="468">
        <v>412109</v>
      </c>
      <c r="AS22" s="527"/>
      <c r="AT22" s="566"/>
      <c r="AU22" s="473">
        <f t="shared" si="7"/>
        <v>0</v>
      </c>
      <c r="AW22" s="464" t="s">
        <v>755</v>
      </c>
      <c r="AX22" s="468">
        <v>412109</v>
      </c>
      <c r="AY22" s="527"/>
      <c r="AZ22" s="566"/>
      <c r="BA22" s="473">
        <f t="shared" si="8"/>
        <v>0</v>
      </c>
      <c r="BC22" s="464" t="s">
        <v>755</v>
      </c>
      <c r="BD22" s="468">
        <v>412109</v>
      </c>
      <c r="BE22" s="527"/>
      <c r="BF22" s="566"/>
      <c r="BG22" s="473">
        <f t="shared" si="9"/>
        <v>0</v>
      </c>
      <c r="BI22" s="464" t="s">
        <v>755</v>
      </c>
      <c r="BJ22" s="468">
        <v>412109</v>
      </c>
      <c r="BK22" s="527"/>
      <c r="BL22" s="566"/>
      <c r="BM22" s="473">
        <f t="shared" si="10"/>
        <v>0</v>
      </c>
      <c r="BO22" s="464" t="s">
        <v>755</v>
      </c>
      <c r="BP22" s="468">
        <v>412109</v>
      </c>
      <c r="BQ22" s="527"/>
      <c r="BR22" s="566"/>
      <c r="BS22" s="473">
        <f t="shared" si="11"/>
        <v>0</v>
      </c>
    </row>
    <row r="23" spans="1:71" ht="24" customHeight="1" hidden="1">
      <c r="A23" s="464" t="s">
        <v>756</v>
      </c>
      <c r="B23" s="468"/>
      <c r="C23" s="527"/>
      <c r="D23" s="487"/>
      <c r="E23" s="473">
        <f t="shared" si="0"/>
        <v>0</v>
      </c>
      <c r="F23" s="466"/>
      <c r="G23" s="464" t="s">
        <v>756</v>
      </c>
      <c r="H23" s="468"/>
      <c r="I23" s="527"/>
      <c r="J23" s="566"/>
      <c r="K23" s="473">
        <f t="shared" si="1"/>
        <v>0</v>
      </c>
      <c r="M23" s="464" t="s">
        <v>756</v>
      </c>
      <c r="N23" s="468"/>
      <c r="O23" s="527"/>
      <c r="P23" s="566"/>
      <c r="Q23" s="473">
        <f t="shared" si="2"/>
        <v>0</v>
      </c>
      <c r="S23" s="464" t="s">
        <v>756</v>
      </c>
      <c r="T23" s="468"/>
      <c r="U23" s="527"/>
      <c r="V23" s="566"/>
      <c r="W23" s="473">
        <f t="shared" si="3"/>
        <v>0</v>
      </c>
      <c r="Y23" s="464" t="s">
        <v>756</v>
      </c>
      <c r="Z23" s="468"/>
      <c r="AA23" s="527"/>
      <c r="AB23" s="566"/>
      <c r="AC23" s="473">
        <f t="shared" si="4"/>
        <v>0</v>
      </c>
      <c r="AE23" s="464" t="s">
        <v>756</v>
      </c>
      <c r="AF23" s="468"/>
      <c r="AG23" s="527"/>
      <c r="AH23" s="566"/>
      <c r="AI23" s="473">
        <f t="shared" si="5"/>
        <v>0</v>
      </c>
      <c r="AK23" s="464" t="s">
        <v>756</v>
      </c>
      <c r="AL23" s="468"/>
      <c r="AM23" s="527"/>
      <c r="AN23" s="566"/>
      <c r="AO23" s="473">
        <f t="shared" si="6"/>
        <v>0</v>
      </c>
      <c r="AQ23" s="464" t="s">
        <v>756</v>
      </c>
      <c r="AR23" s="468"/>
      <c r="AS23" s="527"/>
      <c r="AT23" s="566"/>
      <c r="AU23" s="473">
        <f t="shared" si="7"/>
        <v>0</v>
      </c>
      <c r="AW23" s="464" t="s">
        <v>756</v>
      </c>
      <c r="AX23" s="468"/>
      <c r="AY23" s="527"/>
      <c r="AZ23" s="566"/>
      <c r="BA23" s="473">
        <f t="shared" si="8"/>
        <v>0</v>
      </c>
      <c r="BC23" s="464" t="s">
        <v>756</v>
      </c>
      <c r="BD23" s="468"/>
      <c r="BE23" s="527"/>
      <c r="BF23" s="566"/>
      <c r="BG23" s="473">
        <f t="shared" si="9"/>
        <v>0</v>
      </c>
      <c r="BI23" s="464" t="s">
        <v>756</v>
      </c>
      <c r="BJ23" s="468"/>
      <c r="BK23" s="527"/>
      <c r="BL23" s="566"/>
      <c r="BM23" s="473">
        <f t="shared" si="10"/>
        <v>0</v>
      </c>
      <c r="BO23" s="464" t="s">
        <v>756</v>
      </c>
      <c r="BP23" s="468"/>
      <c r="BQ23" s="527"/>
      <c r="BR23" s="566"/>
      <c r="BS23" s="473">
        <f t="shared" si="11"/>
        <v>0</v>
      </c>
    </row>
    <row r="24" spans="1:71" ht="24" customHeight="1" hidden="1">
      <c r="A24" s="464" t="s">
        <v>757</v>
      </c>
      <c r="B24" s="468">
        <v>412110</v>
      </c>
      <c r="C24" s="527"/>
      <c r="D24" s="487"/>
      <c r="E24" s="473">
        <f t="shared" si="0"/>
        <v>0</v>
      </c>
      <c r="F24" s="466"/>
      <c r="G24" s="464" t="s">
        <v>757</v>
      </c>
      <c r="H24" s="468">
        <v>412110</v>
      </c>
      <c r="I24" s="527"/>
      <c r="J24" s="566"/>
      <c r="K24" s="473">
        <f t="shared" si="1"/>
        <v>0</v>
      </c>
      <c r="M24" s="464" t="s">
        <v>757</v>
      </c>
      <c r="N24" s="468">
        <v>412110</v>
      </c>
      <c r="O24" s="527"/>
      <c r="P24" s="566"/>
      <c r="Q24" s="473">
        <f t="shared" si="2"/>
        <v>0</v>
      </c>
      <c r="S24" s="464" t="s">
        <v>757</v>
      </c>
      <c r="T24" s="468">
        <v>412110</v>
      </c>
      <c r="U24" s="527"/>
      <c r="V24" s="566"/>
      <c r="W24" s="473">
        <f t="shared" si="3"/>
        <v>0</v>
      </c>
      <c r="Y24" s="464" t="s">
        <v>757</v>
      </c>
      <c r="Z24" s="468">
        <v>412110</v>
      </c>
      <c r="AA24" s="527"/>
      <c r="AB24" s="566"/>
      <c r="AC24" s="473">
        <f t="shared" si="4"/>
        <v>0</v>
      </c>
      <c r="AE24" s="464" t="s">
        <v>757</v>
      </c>
      <c r="AF24" s="468">
        <v>412110</v>
      </c>
      <c r="AG24" s="527"/>
      <c r="AH24" s="566"/>
      <c r="AI24" s="473">
        <f t="shared" si="5"/>
        <v>0</v>
      </c>
      <c r="AK24" s="464" t="s">
        <v>757</v>
      </c>
      <c r="AL24" s="468">
        <v>412110</v>
      </c>
      <c r="AM24" s="527"/>
      <c r="AN24" s="566"/>
      <c r="AO24" s="473">
        <f t="shared" si="6"/>
        <v>0</v>
      </c>
      <c r="AQ24" s="464" t="s">
        <v>757</v>
      </c>
      <c r="AR24" s="468">
        <v>412110</v>
      </c>
      <c r="AS24" s="527"/>
      <c r="AT24" s="566"/>
      <c r="AU24" s="473">
        <f t="shared" si="7"/>
        <v>0</v>
      </c>
      <c r="AW24" s="464" t="s">
        <v>757</v>
      </c>
      <c r="AX24" s="468">
        <v>412110</v>
      </c>
      <c r="AY24" s="527"/>
      <c r="AZ24" s="566"/>
      <c r="BA24" s="473">
        <f t="shared" si="8"/>
        <v>0</v>
      </c>
      <c r="BC24" s="464" t="s">
        <v>757</v>
      </c>
      <c r="BD24" s="468">
        <v>412110</v>
      </c>
      <c r="BE24" s="527"/>
      <c r="BF24" s="566"/>
      <c r="BG24" s="473">
        <f t="shared" si="9"/>
        <v>0</v>
      </c>
      <c r="BI24" s="464" t="s">
        <v>757</v>
      </c>
      <c r="BJ24" s="468">
        <v>412110</v>
      </c>
      <c r="BK24" s="527"/>
      <c r="BL24" s="566"/>
      <c r="BM24" s="473">
        <f t="shared" si="10"/>
        <v>0</v>
      </c>
      <c r="BO24" s="464" t="s">
        <v>757</v>
      </c>
      <c r="BP24" s="468">
        <v>412110</v>
      </c>
      <c r="BQ24" s="527"/>
      <c r="BR24" s="566"/>
      <c r="BS24" s="473">
        <f t="shared" si="11"/>
        <v>0</v>
      </c>
    </row>
    <row r="25" spans="1:71" ht="24" customHeight="1" hidden="1">
      <c r="A25" s="464" t="s">
        <v>758</v>
      </c>
      <c r="B25" s="468">
        <v>412111</v>
      </c>
      <c r="C25" s="527"/>
      <c r="D25" s="487"/>
      <c r="E25" s="473">
        <f t="shared" si="0"/>
        <v>0</v>
      </c>
      <c r="F25" s="466"/>
      <c r="G25" s="464" t="s">
        <v>758</v>
      </c>
      <c r="H25" s="468">
        <v>412111</v>
      </c>
      <c r="I25" s="527"/>
      <c r="J25" s="566"/>
      <c r="K25" s="473">
        <f t="shared" si="1"/>
        <v>0</v>
      </c>
      <c r="M25" s="464" t="s">
        <v>758</v>
      </c>
      <c r="N25" s="468">
        <v>412111</v>
      </c>
      <c r="O25" s="527"/>
      <c r="P25" s="566"/>
      <c r="Q25" s="473">
        <f t="shared" si="2"/>
        <v>0</v>
      </c>
      <c r="S25" s="464" t="s">
        <v>758</v>
      </c>
      <c r="T25" s="468">
        <v>412111</v>
      </c>
      <c r="U25" s="527"/>
      <c r="V25" s="566"/>
      <c r="W25" s="473">
        <f t="shared" si="3"/>
        <v>0</v>
      </c>
      <c r="Y25" s="464" t="s">
        <v>758</v>
      </c>
      <c r="Z25" s="468">
        <v>412111</v>
      </c>
      <c r="AA25" s="527"/>
      <c r="AB25" s="566"/>
      <c r="AC25" s="473">
        <f t="shared" si="4"/>
        <v>0</v>
      </c>
      <c r="AE25" s="464" t="s">
        <v>758</v>
      </c>
      <c r="AF25" s="468">
        <v>412111</v>
      </c>
      <c r="AG25" s="527"/>
      <c r="AH25" s="566"/>
      <c r="AI25" s="473">
        <f t="shared" si="5"/>
        <v>0</v>
      </c>
      <c r="AK25" s="464" t="s">
        <v>758</v>
      </c>
      <c r="AL25" s="468">
        <v>412111</v>
      </c>
      <c r="AM25" s="527"/>
      <c r="AN25" s="566"/>
      <c r="AO25" s="473">
        <f t="shared" si="6"/>
        <v>0</v>
      </c>
      <c r="AQ25" s="464" t="s">
        <v>758</v>
      </c>
      <c r="AR25" s="468">
        <v>412111</v>
      </c>
      <c r="AS25" s="527"/>
      <c r="AT25" s="566"/>
      <c r="AU25" s="473">
        <f t="shared" si="7"/>
        <v>0</v>
      </c>
      <c r="AW25" s="464" t="s">
        <v>758</v>
      </c>
      <c r="AX25" s="468">
        <v>412111</v>
      </c>
      <c r="AY25" s="527"/>
      <c r="AZ25" s="566"/>
      <c r="BA25" s="473">
        <f t="shared" si="8"/>
        <v>0</v>
      </c>
      <c r="BC25" s="464" t="s">
        <v>758</v>
      </c>
      <c r="BD25" s="468">
        <v>412111</v>
      </c>
      <c r="BE25" s="527"/>
      <c r="BF25" s="566"/>
      <c r="BG25" s="473">
        <f t="shared" si="9"/>
        <v>0</v>
      </c>
      <c r="BI25" s="464" t="s">
        <v>758</v>
      </c>
      <c r="BJ25" s="468">
        <v>412111</v>
      </c>
      <c r="BK25" s="527"/>
      <c r="BL25" s="566"/>
      <c r="BM25" s="473">
        <f t="shared" si="10"/>
        <v>0</v>
      </c>
      <c r="BO25" s="464" t="s">
        <v>758</v>
      </c>
      <c r="BP25" s="468">
        <v>412111</v>
      </c>
      <c r="BQ25" s="527"/>
      <c r="BR25" s="566"/>
      <c r="BS25" s="473">
        <f t="shared" si="11"/>
        <v>0</v>
      </c>
    </row>
    <row r="26" spans="1:71" ht="24" customHeight="1" hidden="1">
      <c r="A26" s="464" t="s">
        <v>759</v>
      </c>
      <c r="B26" s="468"/>
      <c r="C26" s="527"/>
      <c r="D26" s="487"/>
      <c r="E26" s="473">
        <f t="shared" si="0"/>
        <v>0</v>
      </c>
      <c r="F26" s="466"/>
      <c r="G26" s="464" t="s">
        <v>759</v>
      </c>
      <c r="H26" s="468"/>
      <c r="I26" s="527"/>
      <c r="J26" s="566"/>
      <c r="K26" s="473">
        <f t="shared" si="1"/>
        <v>0</v>
      </c>
      <c r="M26" s="464" t="s">
        <v>759</v>
      </c>
      <c r="N26" s="468"/>
      <c r="O26" s="527"/>
      <c r="P26" s="566"/>
      <c r="Q26" s="473">
        <f t="shared" si="2"/>
        <v>0</v>
      </c>
      <c r="S26" s="464" t="s">
        <v>759</v>
      </c>
      <c r="T26" s="468"/>
      <c r="U26" s="527"/>
      <c r="V26" s="566"/>
      <c r="W26" s="473">
        <f t="shared" si="3"/>
        <v>0</v>
      </c>
      <c r="Y26" s="464" t="s">
        <v>759</v>
      </c>
      <c r="Z26" s="468"/>
      <c r="AA26" s="527"/>
      <c r="AB26" s="566"/>
      <c r="AC26" s="473">
        <f t="shared" si="4"/>
        <v>0</v>
      </c>
      <c r="AE26" s="464" t="s">
        <v>759</v>
      </c>
      <c r="AF26" s="468"/>
      <c r="AG26" s="527"/>
      <c r="AH26" s="566"/>
      <c r="AI26" s="473">
        <f t="shared" si="5"/>
        <v>0</v>
      </c>
      <c r="AK26" s="464" t="s">
        <v>759</v>
      </c>
      <c r="AL26" s="468"/>
      <c r="AM26" s="527"/>
      <c r="AN26" s="566"/>
      <c r="AO26" s="473">
        <f t="shared" si="6"/>
        <v>0</v>
      </c>
      <c r="AQ26" s="464" t="s">
        <v>759</v>
      </c>
      <c r="AR26" s="468"/>
      <c r="AS26" s="527"/>
      <c r="AT26" s="566"/>
      <c r="AU26" s="473">
        <f t="shared" si="7"/>
        <v>0</v>
      </c>
      <c r="AW26" s="464" t="s">
        <v>759</v>
      </c>
      <c r="AX26" s="468"/>
      <c r="AY26" s="527"/>
      <c r="AZ26" s="566"/>
      <c r="BA26" s="473">
        <f t="shared" si="8"/>
        <v>0</v>
      </c>
      <c r="BC26" s="464" t="s">
        <v>759</v>
      </c>
      <c r="BD26" s="468"/>
      <c r="BE26" s="527"/>
      <c r="BF26" s="566"/>
      <c r="BG26" s="473">
        <f t="shared" si="9"/>
        <v>0</v>
      </c>
      <c r="BI26" s="464" t="s">
        <v>759</v>
      </c>
      <c r="BJ26" s="468"/>
      <c r="BK26" s="527"/>
      <c r="BL26" s="566"/>
      <c r="BM26" s="473">
        <f t="shared" si="10"/>
        <v>0</v>
      </c>
      <c r="BO26" s="464" t="s">
        <v>759</v>
      </c>
      <c r="BP26" s="468"/>
      <c r="BQ26" s="527"/>
      <c r="BR26" s="566"/>
      <c r="BS26" s="473">
        <f t="shared" si="11"/>
        <v>0</v>
      </c>
    </row>
    <row r="27" spans="1:71" ht="24" customHeight="1" hidden="1">
      <c r="A27" s="464" t="s">
        <v>760</v>
      </c>
      <c r="B27" s="468">
        <v>412112</v>
      </c>
      <c r="C27" s="527"/>
      <c r="D27" s="487"/>
      <c r="E27" s="473">
        <f t="shared" si="0"/>
        <v>0</v>
      </c>
      <c r="F27" s="466"/>
      <c r="G27" s="464" t="s">
        <v>760</v>
      </c>
      <c r="H27" s="468">
        <v>412112</v>
      </c>
      <c r="I27" s="527"/>
      <c r="J27" s="566"/>
      <c r="K27" s="473">
        <f t="shared" si="1"/>
        <v>0</v>
      </c>
      <c r="M27" s="464" t="s">
        <v>760</v>
      </c>
      <c r="N27" s="468">
        <v>412112</v>
      </c>
      <c r="O27" s="527"/>
      <c r="P27" s="566"/>
      <c r="Q27" s="473">
        <f t="shared" si="2"/>
        <v>0</v>
      </c>
      <c r="S27" s="464" t="s">
        <v>760</v>
      </c>
      <c r="T27" s="468">
        <v>412112</v>
      </c>
      <c r="U27" s="527"/>
      <c r="V27" s="566"/>
      <c r="W27" s="473">
        <f t="shared" si="3"/>
        <v>0</v>
      </c>
      <c r="Y27" s="464" t="s">
        <v>760</v>
      </c>
      <c r="Z27" s="468">
        <v>412112</v>
      </c>
      <c r="AA27" s="527"/>
      <c r="AB27" s="566"/>
      <c r="AC27" s="473">
        <f t="shared" si="4"/>
        <v>0</v>
      </c>
      <c r="AE27" s="464" t="s">
        <v>760</v>
      </c>
      <c r="AF27" s="468">
        <v>412112</v>
      </c>
      <c r="AG27" s="527"/>
      <c r="AH27" s="566"/>
      <c r="AI27" s="473">
        <f t="shared" si="5"/>
        <v>0</v>
      </c>
      <c r="AK27" s="464" t="s">
        <v>760</v>
      </c>
      <c r="AL27" s="468">
        <v>412112</v>
      </c>
      <c r="AM27" s="527"/>
      <c r="AN27" s="566"/>
      <c r="AO27" s="473">
        <f t="shared" si="6"/>
        <v>0</v>
      </c>
      <c r="AQ27" s="464" t="s">
        <v>760</v>
      </c>
      <c r="AR27" s="468">
        <v>412112</v>
      </c>
      <c r="AS27" s="527"/>
      <c r="AT27" s="566"/>
      <c r="AU27" s="473">
        <f t="shared" si="7"/>
        <v>0</v>
      </c>
      <c r="AW27" s="464" t="s">
        <v>760</v>
      </c>
      <c r="AX27" s="468">
        <v>412112</v>
      </c>
      <c r="AY27" s="527"/>
      <c r="AZ27" s="566"/>
      <c r="BA27" s="473">
        <f t="shared" si="8"/>
        <v>0</v>
      </c>
      <c r="BC27" s="464" t="s">
        <v>760</v>
      </c>
      <c r="BD27" s="468">
        <v>412112</v>
      </c>
      <c r="BE27" s="527"/>
      <c r="BF27" s="566"/>
      <c r="BG27" s="473">
        <f t="shared" si="9"/>
        <v>0</v>
      </c>
      <c r="BI27" s="464" t="s">
        <v>760</v>
      </c>
      <c r="BJ27" s="468">
        <v>412112</v>
      </c>
      <c r="BK27" s="527"/>
      <c r="BL27" s="566"/>
      <c r="BM27" s="473">
        <f t="shared" si="10"/>
        <v>0</v>
      </c>
      <c r="BO27" s="464" t="s">
        <v>760</v>
      </c>
      <c r="BP27" s="468">
        <v>412112</v>
      </c>
      <c r="BQ27" s="527"/>
      <c r="BR27" s="566"/>
      <c r="BS27" s="473">
        <f t="shared" si="11"/>
        <v>0</v>
      </c>
    </row>
    <row r="28" spans="1:71" ht="24" customHeight="1" hidden="1">
      <c r="A28" s="464" t="s">
        <v>761</v>
      </c>
      <c r="B28" s="468">
        <v>412113</v>
      </c>
      <c r="C28" s="527"/>
      <c r="D28" s="487"/>
      <c r="E28" s="473">
        <f t="shared" si="0"/>
        <v>0</v>
      </c>
      <c r="F28" s="466"/>
      <c r="G28" s="464" t="s">
        <v>761</v>
      </c>
      <c r="H28" s="468">
        <v>412113</v>
      </c>
      <c r="I28" s="527"/>
      <c r="J28" s="566"/>
      <c r="K28" s="473">
        <f t="shared" si="1"/>
        <v>0</v>
      </c>
      <c r="M28" s="464" t="s">
        <v>761</v>
      </c>
      <c r="N28" s="468">
        <v>412113</v>
      </c>
      <c r="O28" s="527"/>
      <c r="P28" s="566"/>
      <c r="Q28" s="473">
        <f t="shared" si="2"/>
        <v>0</v>
      </c>
      <c r="S28" s="464" t="s">
        <v>761</v>
      </c>
      <c r="T28" s="468">
        <v>412113</v>
      </c>
      <c r="U28" s="527"/>
      <c r="V28" s="566"/>
      <c r="W28" s="473">
        <f t="shared" si="3"/>
        <v>0</v>
      </c>
      <c r="Y28" s="464" t="s">
        <v>761</v>
      </c>
      <c r="Z28" s="468">
        <v>412113</v>
      </c>
      <c r="AA28" s="527"/>
      <c r="AB28" s="566"/>
      <c r="AC28" s="473">
        <f t="shared" si="4"/>
        <v>0</v>
      </c>
      <c r="AE28" s="464" t="s">
        <v>761</v>
      </c>
      <c r="AF28" s="468">
        <v>412113</v>
      </c>
      <c r="AG28" s="527"/>
      <c r="AH28" s="566"/>
      <c r="AI28" s="473">
        <f t="shared" si="5"/>
        <v>0</v>
      </c>
      <c r="AK28" s="464" t="s">
        <v>761</v>
      </c>
      <c r="AL28" s="468">
        <v>412113</v>
      </c>
      <c r="AM28" s="527"/>
      <c r="AN28" s="566"/>
      <c r="AO28" s="473">
        <f t="shared" si="6"/>
        <v>0</v>
      </c>
      <c r="AQ28" s="464" t="s">
        <v>761</v>
      </c>
      <c r="AR28" s="468">
        <v>412113</v>
      </c>
      <c r="AS28" s="527"/>
      <c r="AT28" s="566"/>
      <c r="AU28" s="473">
        <f t="shared" si="7"/>
        <v>0</v>
      </c>
      <c r="AW28" s="464" t="s">
        <v>761</v>
      </c>
      <c r="AX28" s="468">
        <v>412113</v>
      </c>
      <c r="AY28" s="527"/>
      <c r="AZ28" s="566"/>
      <c r="BA28" s="473">
        <f t="shared" si="8"/>
        <v>0</v>
      </c>
      <c r="BC28" s="464" t="s">
        <v>761</v>
      </c>
      <c r="BD28" s="468">
        <v>412113</v>
      </c>
      <c r="BE28" s="527"/>
      <c r="BF28" s="566"/>
      <c r="BG28" s="473">
        <f t="shared" si="9"/>
        <v>0</v>
      </c>
      <c r="BI28" s="464" t="s">
        <v>761</v>
      </c>
      <c r="BJ28" s="468">
        <v>412113</v>
      </c>
      <c r="BK28" s="527"/>
      <c r="BL28" s="566"/>
      <c r="BM28" s="473">
        <f t="shared" si="10"/>
        <v>0</v>
      </c>
      <c r="BO28" s="464" t="s">
        <v>761</v>
      </c>
      <c r="BP28" s="468">
        <v>412113</v>
      </c>
      <c r="BQ28" s="527"/>
      <c r="BR28" s="566"/>
      <c r="BS28" s="473">
        <f t="shared" si="11"/>
        <v>0</v>
      </c>
    </row>
    <row r="29" spans="1:71" ht="24" customHeight="1" hidden="1">
      <c r="A29" s="464" t="s">
        <v>762</v>
      </c>
      <c r="B29" s="468">
        <v>412114</v>
      </c>
      <c r="C29" s="527"/>
      <c r="D29" s="487"/>
      <c r="E29" s="473">
        <f t="shared" si="0"/>
        <v>0</v>
      </c>
      <c r="F29" s="466"/>
      <c r="G29" s="464" t="s">
        <v>762</v>
      </c>
      <c r="H29" s="468">
        <v>412114</v>
      </c>
      <c r="I29" s="527"/>
      <c r="J29" s="566"/>
      <c r="K29" s="473">
        <f t="shared" si="1"/>
        <v>0</v>
      </c>
      <c r="M29" s="464" t="s">
        <v>762</v>
      </c>
      <c r="N29" s="468">
        <v>412114</v>
      </c>
      <c r="O29" s="527"/>
      <c r="P29" s="566"/>
      <c r="Q29" s="473">
        <f t="shared" si="2"/>
        <v>0</v>
      </c>
      <c r="S29" s="464" t="s">
        <v>762</v>
      </c>
      <c r="T29" s="468">
        <v>412114</v>
      </c>
      <c r="U29" s="527"/>
      <c r="V29" s="566"/>
      <c r="W29" s="473">
        <f t="shared" si="3"/>
        <v>0</v>
      </c>
      <c r="Y29" s="464" t="s">
        <v>762</v>
      </c>
      <c r="Z29" s="468">
        <v>412114</v>
      </c>
      <c r="AA29" s="527"/>
      <c r="AB29" s="566"/>
      <c r="AC29" s="473">
        <f t="shared" si="4"/>
        <v>0</v>
      </c>
      <c r="AE29" s="464" t="s">
        <v>762</v>
      </c>
      <c r="AF29" s="468">
        <v>412114</v>
      </c>
      <c r="AG29" s="527"/>
      <c r="AH29" s="566"/>
      <c r="AI29" s="473">
        <f t="shared" si="5"/>
        <v>0</v>
      </c>
      <c r="AK29" s="464" t="s">
        <v>762</v>
      </c>
      <c r="AL29" s="468">
        <v>412114</v>
      </c>
      <c r="AM29" s="527"/>
      <c r="AN29" s="566"/>
      <c r="AO29" s="473">
        <f t="shared" si="6"/>
        <v>0</v>
      </c>
      <c r="AQ29" s="464" t="s">
        <v>762</v>
      </c>
      <c r="AR29" s="468">
        <v>412114</v>
      </c>
      <c r="AS29" s="527"/>
      <c r="AT29" s="566"/>
      <c r="AU29" s="473">
        <f t="shared" si="7"/>
        <v>0</v>
      </c>
      <c r="AW29" s="464" t="s">
        <v>762</v>
      </c>
      <c r="AX29" s="468">
        <v>412114</v>
      </c>
      <c r="AY29" s="527"/>
      <c r="AZ29" s="566"/>
      <c r="BA29" s="473">
        <f t="shared" si="8"/>
        <v>0</v>
      </c>
      <c r="BC29" s="464" t="s">
        <v>762</v>
      </c>
      <c r="BD29" s="468">
        <v>412114</v>
      </c>
      <c r="BE29" s="527"/>
      <c r="BF29" s="566"/>
      <c r="BG29" s="473">
        <f t="shared" si="9"/>
        <v>0</v>
      </c>
      <c r="BI29" s="464" t="s">
        <v>762</v>
      </c>
      <c r="BJ29" s="468">
        <v>412114</v>
      </c>
      <c r="BK29" s="527"/>
      <c r="BL29" s="566"/>
      <c r="BM29" s="473">
        <f t="shared" si="10"/>
        <v>0</v>
      </c>
      <c r="BO29" s="464" t="s">
        <v>762</v>
      </c>
      <c r="BP29" s="468">
        <v>412114</v>
      </c>
      <c r="BQ29" s="527"/>
      <c r="BR29" s="566"/>
      <c r="BS29" s="473">
        <f t="shared" si="11"/>
        <v>0</v>
      </c>
    </row>
    <row r="30" spans="1:71" ht="24" customHeight="1" hidden="1">
      <c r="A30" s="480" t="s">
        <v>763</v>
      </c>
      <c r="B30" s="481">
        <v>412115</v>
      </c>
      <c r="C30" s="529"/>
      <c r="D30" s="545"/>
      <c r="E30" s="473">
        <f t="shared" si="0"/>
        <v>0</v>
      </c>
      <c r="F30" s="466"/>
      <c r="G30" s="480" t="s">
        <v>763</v>
      </c>
      <c r="H30" s="481">
        <v>412115</v>
      </c>
      <c r="I30" s="529"/>
      <c r="J30" s="567"/>
      <c r="K30" s="473">
        <f t="shared" si="1"/>
        <v>0</v>
      </c>
      <c r="M30" s="480" t="s">
        <v>763</v>
      </c>
      <c r="N30" s="481">
        <v>412115</v>
      </c>
      <c r="O30" s="529"/>
      <c r="P30" s="567"/>
      <c r="Q30" s="473">
        <f t="shared" si="2"/>
        <v>0</v>
      </c>
      <c r="S30" s="480" t="s">
        <v>763</v>
      </c>
      <c r="T30" s="481">
        <v>412115</v>
      </c>
      <c r="U30" s="529"/>
      <c r="V30" s="567"/>
      <c r="W30" s="473">
        <f t="shared" si="3"/>
        <v>0</v>
      </c>
      <c r="Y30" s="480" t="s">
        <v>763</v>
      </c>
      <c r="Z30" s="481">
        <v>412115</v>
      </c>
      <c r="AA30" s="529"/>
      <c r="AB30" s="567"/>
      <c r="AC30" s="473">
        <f t="shared" si="4"/>
        <v>0</v>
      </c>
      <c r="AE30" s="480" t="s">
        <v>763</v>
      </c>
      <c r="AF30" s="481">
        <v>412115</v>
      </c>
      <c r="AG30" s="529"/>
      <c r="AH30" s="567"/>
      <c r="AI30" s="473">
        <f t="shared" si="5"/>
        <v>0</v>
      </c>
      <c r="AK30" s="480" t="s">
        <v>763</v>
      </c>
      <c r="AL30" s="481">
        <v>412115</v>
      </c>
      <c r="AM30" s="529"/>
      <c r="AN30" s="567"/>
      <c r="AO30" s="473">
        <f t="shared" si="6"/>
        <v>0</v>
      </c>
      <c r="AQ30" s="480" t="s">
        <v>763</v>
      </c>
      <c r="AR30" s="481">
        <v>412115</v>
      </c>
      <c r="AS30" s="529"/>
      <c r="AT30" s="567"/>
      <c r="AU30" s="473">
        <f t="shared" si="7"/>
        <v>0</v>
      </c>
      <c r="AW30" s="480" t="s">
        <v>763</v>
      </c>
      <c r="AX30" s="481">
        <v>412115</v>
      </c>
      <c r="AY30" s="529"/>
      <c r="AZ30" s="567"/>
      <c r="BA30" s="473">
        <f t="shared" si="8"/>
        <v>0</v>
      </c>
      <c r="BC30" s="480" t="s">
        <v>763</v>
      </c>
      <c r="BD30" s="481">
        <v>412115</v>
      </c>
      <c r="BE30" s="529"/>
      <c r="BF30" s="567"/>
      <c r="BG30" s="473">
        <f t="shared" si="9"/>
        <v>0</v>
      </c>
      <c r="BI30" s="480" t="s">
        <v>763</v>
      </c>
      <c r="BJ30" s="481">
        <v>412115</v>
      </c>
      <c r="BK30" s="529"/>
      <c r="BL30" s="567"/>
      <c r="BM30" s="473">
        <f t="shared" si="10"/>
        <v>0</v>
      </c>
      <c r="BO30" s="480" t="s">
        <v>763</v>
      </c>
      <c r="BP30" s="481">
        <v>412115</v>
      </c>
      <c r="BQ30" s="529"/>
      <c r="BR30" s="567"/>
      <c r="BS30" s="473">
        <f t="shared" si="11"/>
        <v>0</v>
      </c>
    </row>
    <row r="31" spans="1:71" ht="24" customHeight="1" hidden="1">
      <c r="A31" s="464" t="s">
        <v>764</v>
      </c>
      <c r="B31" s="468">
        <v>412116</v>
      </c>
      <c r="C31" s="527"/>
      <c r="D31" s="487"/>
      <c r="E31" s="473">
        <f t="shared" si="0"/>
        <v>0</v>
      </c>
      <c r="F31" s="466"/>
      <c r="G31" s="464" t="s">
        <v>764</v>
      </c>
      <c r="H31" s="468">
        <v>412116</v>
      </c>
      <c r="I31" s="527"/>
      <c r="J31" s="566"/>
      <c r="K31" s="473">
        <f t="shared" si="1"/>
        <v>0</v>
      </c>
      <c r="M31" s="464" t="s">
        <v>764</v>
      </c>
      <c r="N31" s="468">
        <v>412116</v>
      </c>
      <c r="O31" s="527"/>
      <c r="P31" s="566"/>
      <c r="Q31" s="473">
        <f t="shared" si="2"/>
        <v>0</v>
      </c>
      <c r="S31" s="464" t="s">
        <v>764</v>
      </c>
      <c r="T31" s="468">
        <v>412116</v>
      </c>
      <c r="U31" s="527"/>
      <c r="V31" s="566"/>
      <c r="W31" s="473">
        <f t="shared" si="3"/>
        <v>0</v>
      </c>
      <c r="Y31" s="464" t="s">
        <v>764</v>
      </c>
      <c r="Z31" s="468">
        <v>412116</v>
      </c>
      <c r="AA31" s="527"/>
      <c r="AB31" s="566"/>
      <c r="AC31" s="473">
        <f t="shared" si="4"/>
        <v>0</v>
      </c>
      <c r="AE31" s="464" t="s">
        <v>764</v>
      </c>
      <c r="AF31" s="468">
        <v>412116</v>
      </c>
      <c r="AG31" s="527"/>
      <c r="AH31" s="566"/>
      <c r="AI31" s="473">
        <f t="shared" si="5"/>
        <v>0</v>
      </c>
      <c r="AK31" s="464" t="s">
        <v>764</v>
      </c>
      <c r="AL31" s="468">
        <v>412116</v>
      </c>
      <c r="AM31" s="527"/>
      <c r="AN31" s="566"/>
      <c r="AO31" s="473">
        <f t="shared" si="6"/>
        <v>0</v>
      </c>
      <c r="AQ31" s="464" t="s">
        <v>764</v>
      </c>
      <c r="AR31" s="468">
        <v>412116</v>
      </c>
      <c r="AS31" s="527"/>
      <c r="AT31" s="566"/>
      <c r="AU31" s="473">
        <f t="shared" si="7"/>
        <v>0</v>
      </c>
      <c r="AW31" s="464" t="s">
        <v>764</v>
      </c>
      <c r="AX31" s="468">
        <v>412116</v>
      </c>
      <c r="AY31" s="527"/>
      <c r="AZ31" s="566"/>
      <c r="BA31" s="473">
        <f t="shared" si="8"/>
        <v>0</v>
      </c>
      <c r="BC31" s="464" t="s">
        <v>764</v>
      </c>
      <c r="BD31" s="468">
        <v>412116</v>
      </c>
      <c r="BE31" s="527"/>
      <c r="BF31" s="566"/>
      <c r="BG31" s="473">
        <f t="shared" si="9"/>
        <v>0</v>
      </c>
      <c r="BI31" s="464" t="s">
        <v>764</v>
      </c>
      <c r="BJ31" s="468">
        <v>412116</v>
      </c>
      <c r="BK31" s="527"/>
      <c r="BL31" s="566"/>
      <c r="BM31" s="473">
        <f t="shared" si="10"/>
        <v>0</v>
      </c>
      <c r="BO31" s="464" t="s">
        <v>764</v>
      </c>
      <c r="BP31" s="468">
        <v>412116</v>
      </c>
      <c r="BQ31" s="527"/>
      <c r="BR31" s="566"/>
      <c r="BS31" s="473">
        <f t="shared" si="11"/>
        <v>0</v>
      </c>
    </row>
    <row r="32" spans="1:71" ht="24" customHeight="1" hidden="1">
      <c r="A32" s="464" t="s">
        <v>765</v>
      </c>
      <c r="B32" s="468">
        <v>412117</v>
      </c>
      <c r="C32" s="527"/>
      <c r="D32" s="487"/>
      <c r="E32" s="473">
        <f t="shared" si="0"/>
        <v>0</v>
      </c>
      <c r="F32" s="466"/>
      <c r="G32" s="464" t="s">
        <v>765</v>
      </c>
      <c r="H32" s="468">
        <v>412117</v>
      </c>
      <c r="I32" s="527"/>
      <c r="J32" s="566"/>
      <c r="K32" s="473">
        <f t="shared" si="1"/>
        <v>0</v>
      </c>
      <c r="M32" s="464" t="s">
        <v>765</v>
      </c>
      <c r="N32" s="468">
        <v>412117</v>
      </c>
      <c r="O32" s="527"/>
      <c r="P32" s="566"/>
      <c r="Q32" s="473">
        <f t="shared" si="2"/>
        <v>0</v>
      </c>
      <c r="S32" s="464" t="s">
        <v>765</v>
      </c>
      <c r="T32" s="468">
        <v>412117</v>
      </c>
      <c r="U32" s="527"/>
      <c r="V32" s="566"/>
      <c r="W32" s="473">
        <f t="shared" si="3"/>
        <v>0</v>
      </c>
      <c r="Y32" s="464" t="s">
        <v>765</v>
      </c>
      <c r="Z32" s="468">
        <v>412117</v>
      </c>
      <c r="AA32" s="527"/>
      <c r="AB32" s="566"/>
      <c r="AC32" s="473">
        <f t="shared" si="4"/>
        <v>0</v>
      </c>
      <c r="AE32" s="464" t="s">
        <v>765</v>
      </c>
      <c r="AF32" s="468">
        <v>412117</v>
      </c>
      <c r="AG32" s="527"/>
      <c r="AH32" s="566"/>
      <c r="AI32" s="473">
        <f t="shared" si="5"/>
        <v>0</v>
      </c>
      <c r="AK32" s="464" t="s">
        <v>765</v>
      </c>
      <c r="AL32" s="468">
        <v>412117</v>
      </c>
      <c r="AM32" s="527"/>
      <c r="AN32" s="566"/>
      <c r="AO32" s="473">
        <f t="shared" si="6"/>
        <v>0</v>
      </c>
      <c r="AQ32" s="464" t="s">
        <v>765</v>
      </c>
      <c r="AR32" s="468">
        <v>412117</v>
      </c>
      <c r="AS32" s="527"/>
      <c r="AT32" s="566"/>
      <c r="AU32" s="473">
        <f t="shared" si="7"/>
        <v>0</v>
      </c>
      <c r="AW32" s="464" t="s">
        <v>765</v>
      </c>
      <c r="AX32" s="468">
        <v>412117</v>
      </c>
      <c r="AY32" s="527"/>
      <c r="AZ32" s="566"/>
      <c r="BA32" s="473">
        <f t="shared" si="8"/>
        <v>0</v>
      </c>
      <c r="BC32" s="464" t="s">
        <v>765</v>
      </c>
      <c r="BD32" s="468">
        <v>412117</v>
      </c>
      <c r="BE32" s="527"/>
      <c r="BF32" s="566"/>
      <c r="BG32" s="473">
        <f t="shared" si="9"/>
        <v>0</v>
      </c>
      <c r="BI32" s="464" t="s">
        <v>765</v>
      </c>
      <c r="BJ32" s="468">
        <v>412117</v>
      </c>
      <c r="BK32" s="527"/>
      <c r="BL32" s="566"/>
      <c r="BM32" s="473">
        <f t="shared" si="10"/>
        <v>0</v>
      </c>
      <c r="BO32" s="464" t="s">
        <v>765</v>
      </c>
      <c r="BP32" s="468">
        <v>412117</v>
      </c>
      <c r="BQ32" s="527"/>
      <c r="BR32" s="566"/>
      <c r="BS32" s="473">
        <f t="shared" si="11"/>
        <v>0</v>
      </c>
    </row>
    <row r="33" spans="1:71" ht="24" customHeight="1" hidden="1">
      <c r="A33" s="464" t="s">
        <v>766</v>
      </c>
      <c r="B33" s="468">
        <v>412118</v>
      </c>
      <c r="C33" s="527"/>
      <c r="D33" s="487"/>
      <c r="E33" s="473">
        <f t="shared" si="0"/>
        <v>0</v>
      </c>
      <c r="F33" s="466"/>
      <c r="G33" s="464" t="s">
        <v>766</v>
      </c>
      <c r="H33" s="468">
        <v>412118</v>
      </c>
      <c r="I33" s="527"/>
      <c r="J33" s="566"/>
      <c r="K33" s="473">
        <f t="shared" si="1"/>
        <v>0</v>
      </c>
      <c r="M33" s="464" t="s">
        <v>766</v>
      </c>
      <c r="N33" s="468">
        <v>412118</v>
      </c>
      <c r="O33" s="527"/>
      <c r="P33" s="566"/>
      <c r="Q33" s="473">
        <f t="shared" si="2"/>
        <v>0</v>
      </c>
      <c r="S33" s="464" t="s">
        <v>766</v>
      </c>
      <c r="T33" s="468">
        <v>412118</v>
      </c>
      <c r="U33" s="527"/>
      <c r="V33" s="566"/>
      <c r="W33" s="473">
        <f t="shared" si="3"/>
        <v>0</v>
      </c>
      <c r="Y33" s="464" t="s">
        <v>766</v>
      </c>
      <c r="Z33" s="468">
        <v>412118</v>
      </c>
      <c r="AA33" s="527"/>
      <c r="AB33" s="566"/>
      <c r="AC33" s="473">
        <f t="shared" si="4"/>
        <v>0</v>
      </c>
      <c r="AE33" s="464" t="s">
        <v>766</v>
      </c>
      <c r="AF33" s="468">
        <v>412118</v>
      </c>
      <c r="AG33" s="527"/>
      <c r="AH33" s="566"/>
      <c r="AI33" s="473">
        <f t="shared" si="5"/>
        <v>0</v>
      </c>
      <c r="AK33" s="464" t="s">
        <v>766</v>
      </c>
      <c r="AL33" s="468">
        <v>412118</v>
      </c>
      <c r="AM33" s="527"/>
      <c r="AN33" s="566"/>
      <c r="AO33" s="473">
        <f t="shared" si="6"/>
        <v>0</v>
      </c>
      <c r="AQ33" s="464" t="s">
        <v>766</v>
      </c>
      <c r="AR33" s="468">
        <v>412118</v>
      </c>
      <c r="AS33" s="527"/>
      <c r="AT33" s="566"/>
      <c r="AU33" s="473">
        <f t="shared" si="7"/>
        <v>0</v>
      </c>
      <c r="AW33" s="464" t="s">
        <v>766</v>
      </c>
      <c r="AX33" s="468">
        <v>412118</v>
      </c>
      <c r="AY33" s="527"/>
      <c r="AZ33" s="566"/>
      <c r="BA33" s="473">
        <f t="shared" si="8"/>
        <v>0</v>
      </c>
      <c r="BC33" s="464" t="s">
        <v>766</v>
      </c>
      <c r="BD33" s="468">
        <v>412118</v>
      </c>
      <c r="BE33" s="527"/>
      <c r="BF33" s="566"/>
      <c r="BG33" s="473">
        <f t="shared" si="9"/>
        <v>0</v>
      </c>
      <c r="BI33" s="464" t="s">
        <v>766</v>
      </c>
      <c r="BJ33" s="468">
        <v>412118</v>
      </c>
      <c r="BK33" s="527"/>
      <c r="BL33" s="566"/>
      <c r="BM33" s="473">
        <f t="shared" si="10"/>
        <v>0</v>
      </c>
      <c r="BO33" s="464" t="s">
        <v>766</v>
      </c>
      <c r="BP33" s="468">
        <v>412118</v>
      </c>
      <c r="BQ33" s="527"/>
      <c r="BR33" s="566"/>
      <c r="BS33" s="473">
        <f t="shared" si="11"/>
        <v>0</v>
      </c>
    </row>
    <row r="34" spans="1:71" ht="24" customHeight="1" hidden="1">
      <c r="A34" s="464" t="s">
        <v>767</v>
      </c>
      <c r="B34" s="468"/>
      <c r="C34" s="527"/>
      <c r="D34" s="487"/>
      <c r="E34" s="473">
        <f t="shared" si="0"/>
        <v>0</v>
      </c>
      <c r="F34" s="466"/>
      <c r="G34" s="464" t="s">
        <v>767</v>
      </c>
      <c r="H34" s="468"/>
      <c r="I34" s="527"/>
      <c r="J34" s="566"/>
      <c r="K34" s="473">
        <f t="shared" si="1"/>
        <v>0</v>
      </c>
      <c r="M34" s="464" t="s">
        <v>767</v>
      </c>
      <c r="N34" s="468"/>
      <c r="O34" s="527"/>
      <c r="P34" s="566"/>
      <c r="Q34" s="473">
        <f t="shared" si="2"/>
        <v>0</v>
      </c>
      <c r="S34" s="464" t="s">
        <v>767</v>
      </c>
      <c r="T34" s="468"/>
      <c r="U34" s="527"/>
      <c r="V34" s="566"/>
      <c r="W34" s="473">
        <f t="shared" si="3"/>
        <v>0</v>
      </c>
      <c r="Y34" s="464" t="s">
        <v>767</v>
      </c>
      <c r="Z34" s="468"/>
      <c r="AA34" s="527"/>
      <c r="AB34" s="566"/>
      <c r="AC34" s="473">
        <f t="shared" si="4"/>
        <v>0</v>
      </c>
      <c r="AE34" s="464" t="s">
        <v>767</v>
      </c>
      <c r="AF34" s="468"/>
      <c r="AG34" s="527"/>
      <c r="AH34" s="566"/>
      <c r="AI34" s="473">
        <f t="shared" si="5"/>
        <v>0</v>
      </c>
      <c r="AK34" s="464" t="s">
        <v>767</v>
      </c>
      <c r="AL34" s="468"/>
      <c r="AM34" s="527"/>
      <c r="AN34" s="566"/>
      <c r="AO34" s="473">
        <f t="shared" si="6"/>
        <v>0</v>
      </c>
      <c r="AQ34" s="464" t="s">
        <v>767</v>
      </c>
      <c r="AR34" s="468"/>
      <c r="AS34" s="527"/>
      <c r="AT34" s="566"/>
      <c r="AU34" s="473">
        <f t="shared" si="7"/>
        <v>0</v>
      </c>
      <c r="AW34" s="464" t="s">
        <v>767</v>
      </c>
      <c r="AX34" s="468"/>
      <c r="AY34" s="527"/>
      <c r="AZ34" s="566"/>
      <c r="BA34" s="473">
        <f t="shared" si="8"/>
        <v>0</v>
      </c>
      <c r="BC34" s="464" t="s">
        <v>767</v>
      </c>
      <c r="BD34" s="468"/>
      <c r="BE34" s="527"/>
      <c r="BF34" s="566"/>
      <c r="BG34" s="473">
        <f t="shared" si="9"/>
        <v>0</v>
      </c>
      <c r="BI34" s="464" t="s">
        <v>767</v>
      </c>
      <c r="BJ34" s="468"/>
      <c r="BK34" s="527"/>
      <c r="BL34" s="566"/>
      <c r="BM34" s="473">
        <f t="shared" si="10"/>
        <v>0</v>
      </c>
      <c r="BO34" s="464" t="s">
        <v>767</v>
      </c>
      <c r="BP34" s="468"/>
      <c r="BQ34" s="527"/>
      <c r="BR34" s="566"/>
      <c r="BS34" s="473">
        <f t="shared" si="11"/>
        <v>0</v>
      </c>
    </row>
    <row r="35" spans="1:71" ht="24" customHeight="1" hidden="1">
      <c r="A35" s="464" t="s">
        <v>768</v>
      </c>
      <c r="B35" s="468">
        <v>412119</v>
      </c>
      <c r="C35" s="527"/>
      <c r="D35" s="487"/>
      <c r="E35" s="473">
        <f t="shared" si="0"/>
        <v>0</v>
      </c>
      <c r="F35" s="466"/>
      <c r="G35" s="464" t="s">
        <v>768</v>
      </c>
      <c r="H35" s="468">
        <v>412119</v>
      </c>
      <c r="I35" s="527"/>
      <c r="J35" s="566"/>
      <c r="K35" s="473">
        <f t="shared" si="1"/>
        <v>0</v>
      </c>
      <c r="M35" s="464" t="s">
        <v>768</v>
      </c>
      <c r="N35" s="468">
        <v>412119</v>
      </c>
      <c r="O35" s="527"/>
      <c r="P35" s="566"/>
      <c r="Q35" s="473">
        <f t="shared" si="2"/>
        <v>0</v>
      </c>
      <c r="S35" s="464" t="s">
        <v>768</v>
      </c>
      <c r="T35" s="468">
        <v>412119</v>
      </c>
      <c r="U35" s="527"/>
      <c r="V35" s="566"/>
      <c r="W35" s="473">
        <f t="shared" si="3"/>
        <v>0</v>
      </c>
      <c r="Y35" s="464" t="s">
        <v>768</v>
      </c>
      <c r="Z35" s="468">
        <v>412119</v>
      </c>
      <c r="AA35" s="527"/>
      <c r="AB35" s="566"/>
      <c r="AC35" s="473">
        <f t="shared" si="4"/>
        <v>0</v>
      </c>
      <c r="AE35" s="464" t="s">
        <v>768</v>
      </c>
      <c r="AF35" s="468">
        <v>412119</v>
      </c>
      <c r="AG35" s="527"/>
      <c r="AH35" s="566"/>
      <c r="AI35" s="473">
        <f t="shared" si="5"/>
        <v>0</v>
      </c>
      <c r="AK35" s="464" t="s">
        <v>768</v>
      </c>
      <c r="AL35" s="468">
        <v>412119</v>
      </c>
      <c r="AM35" s="527"/>
      <c r="AN35" s="566"/>
      <c r="AO35" s="473">
        <f t="shared" si="6"/>
        <v>0</v>
      </c>
      <c r="AQ35" s="464" t="s">
        <v>768</v>
      </c>
      <c r="AR35" s="468">
        <v>412119</v>
      </c>
      <c r="AS35" s="527"/>
      <c r="AT35" s="566"/>
      <c r="AU35" s="473">
        <f t="shared" si="7"/>
        <v>0</v>
      </c>
      <c r="AW35" s="464" t="s">
        <v>768</v>
      </c>
      <c r="AX35" s="468">
        <v>412119</v>
      </c>
      <c r="AY35" s="527"/>
      <c r="AZ35" s="566"/>
      <c r="BA35" s="473">
        <f t="shared" si="8"/>
        <v>0</v>
      </c>
      <c r="BC35" s="464" t="s">
        <v>768</v>
      </c>
      <c r="BD35" s="468">
        <v>412119</v>
      </c>
      <c r="BE35" s="527"/>
      <c r="BF35" s="566"/>
      <c r="BG35" s="473">
        <f t="shared" si="9"/>
        <v>0</v>
      </c>
      <c r="BI35" s="464" t="s">
        <v>768</v>
      </c>
      <c r="BJ35" s="468">
        <v>412119</v>
      </c>
      <c r="BK35" s="527"/>
      <c r="BL35" s="566"/>
      <c r="BM35" s="473">
        <f t="shared" si="10"/>
        <v>0</v>
      </c>
      <c r="BO35" s="464" t="s">
        <v>768</v>
      </c>
      <c r="BP35" s="468">
        <v>412119</v>
      </c>
      <c r="BQ35" s="527"/>
      <c r="BR35" s="566"/>
      <c r="BS35" s="473">
        <f t="shared" si="11"/>
        <v>0</v>
      </c>
    </row>
    <row r="36" spans="1:71" ht="24" customHeight="1" hidden="1">
      <c r="A36" s="464" t="s">
        <v>769</v>
      </c>
      <c r="B36" s="468">
        <v>412120</v>
      </c>
      <c r="C36" s="527"/>
      <c r="D36" s="487"/>
      <c r="E36" s="473">
        <f t="shared" si="0"/>
        <v>0</v>
      </c>
      <c r="F36" s="466"/>
      <c r="G36" s="464" t="s">
        <v>769</v>
      </c>
      <c r="H36" s="468">
        <v>412120</v>
      </c>
      <c r="I36" s="527"/>
      <c r="J36" s="566"/>
      <c r="K36" s="473">
        <f t="shared" si="1"/>
        <v>0</v>
      </c>
      <c r="M36" s="464" t="s">
        <v>769</v>
      </c>
      <c r="N36" s="468">
        <v>412120</v>
      </c>
      <c r="O36" s="527"/>
      <c r="P36" s="566"/>
      <c r="Q36" s="473">
        <f t="shared" si="2"/>
        <v>0</v>
      </c>
      <c r="S36" s="464" t="s">
        <v>769</v>
      </c>
      <c r="T36" s="468">
        <v>412120</v>
      </c>
      <c r="U36" s="527"/>
      <c r="V36" s="566"/>
      <c r="W36" s="473">
        <f t="shared" si="3"/>
        <v>0</v>
      </c>
      <c r="Y36" s="464" t="s">
        <v>769</v>
      </c>
      <c r="Z36" s="468">
        <v>412120</v>
      </c>
      <c r="AA36" s="527"/>
      <c r="AB36" s="566"/>
      <c r="AC36" s="473">
        <f t="shared" si="4"/>
        <v>0</v>
      </c>
      <c r="AE36" s="464" t="s">
        <v>769</v>
      </c>
      <c r="AF36" s="468">
        <v>412120</v>
      </c>
      <c r="AG36" s="527"/>
      <c r="AH36" s="566"/>
      <c r="AI36" s="473">
        <f t="shared" si="5"/>
        <v>0</v>
      </c>
      <c r="AK36" s="464" t="s">
        <v>769</v>
      </c>
      <c r="AL36" s="468">
        <v>412120</v>
      </c>
      <c r="AM36" s="527"/>
      <c r="AN36" s="566"/>
      <c r="AO36" s="473">
        <f t="shared" si="6"/>
        <v>0</v>
      </c>
      <c r="AQ36" s="464" t="s">
        <v>769</v>
      </c>
      <c r="AR36" s="468">
        <v>412120</v>
      </c>
      <c r="AS36" s="527"/>
      <c r="AT36" s="566"/>
      <c r="AU36" s="473">
        <f t="shared" si="7"/>
        <v>0</v>
      </c>
      <c r="AW36" s="464" t="s">
        <v>769</v>
      </c>
      <c r="AX36" s="468">
        <v>412120</v>
      </c>
      <c r="AY36" s="527"/>
      <c r="AZ36" s="566"/>
      <c r="BA36" s="473">
        <f t="shared" si="8"/>
        <v>0</v>
      </c>
      <c r="BC36" s="464" t="s">
        <v>769</v>
      </c>
      <c r="BD36" s="468">
        <v>412120</v>
      </c>
      <c r="BE36" s="527"/>
      <c r="BF36" s="566"/>
      <c r="BG36" s="473">
        <f t="shared" si="9"/>
        <v>0</v>
      </c>
      <c r="BI36" s="464" t="s">
        <v>769</v>
      </c>
      <c r="BJ36" s="468">
        <v>412120</v>
      </c>
      <c r="BK36" s="527"/>
      <c r="BL36" s="566"/>
      <c r="BM36" s="473">
        <f t="shared" si="10"/>
        <v>0</v>
      </c>
      <c r="BO36" s="464" t="s">
        <v>769</v>
      </c>
      <c r="BP36" s="468">
        <v>412120</v>
      </c>
      <c r="BQ36" s="527"/>
      <c r="BR36" s="566"/>
      <c r="BS36" s="473">
        <f t="shared" si="11"/>
        <v>0</v>
      </c>
    </row>
    <row r="37" spans="1:71" ht="24" customHeight="1" hidden="1">
      <c r="A37" s="464" t="s">
        <v>770</v>
      </c>
      <c r="B37" s="468">
        <v>412121</v>
      </c>
      <c r="C37" s="527"/>
      <c r="D37" s="487"/>
      <c r="E37" s="473">
        <f t="shared" si="0"/>
        <v>0</v>
      </c>
      <c r="F37" s="466"/>
      <c r="G37" s="464" t="s">
        <v>770</v>
      </c>
      <c r="H37" s="468">
        <v>412121</v>
      </c>
      <c r="I37" s="527"/>
      <c r="J37" s="566"/>
      <c r="K37" s="473">
        <f t="shared" si="1"/>
        <v>0</v>
      </c>
      <c r="M37" s="464" t="s">
        <v>770</v>
      </c>
      <c r="N37" s="468">
        <v>412121</v>
      </c>
      <c r="O37" s="527"/>
      <c r="P37" s="566"/>
      <c r="Q37" s="473">
        <f t="shared" si="2"/>
        <v>0</v>
      </c>
      <c r="S37" s="464" t="s">
        <v>770</v>
      </c>
      <c r="T37" s="468">
        <v>412121</v>
      </c>
      <c r="U37" s="527"/>
      <c r="V37" s="566"/>
      <c r="W37" s="473">
        <f t="shared" si="3"/>
        <v>0</v>
      </c>
      <c r="Y37" s="464" t="s">
        <v>770</v>
      </c>
      <c r="Z37" s="468">
        <v>412121</v>
      </c>
      <c r="AA37" s="527"/>
      <c r="AB37" s="566"/>
      <c r="AC37" s="473">
        <f t="shared" si="4"/>
        <v>0</v>
      </c>
      <c r="AE37" s="464" t="s">
        <v>770</v>
      </c>
      <c r="AF37" s="468">
        <v>412121</v>
      </c>
      <c r="AG37" s="527"/>
      <c r="AH37" s="566"/>
      <c r="AI37" s="473">
        <f t="shared" si="5"/>
        <v>0</v>
      </c>
      <c r="AK37" s="464" t="s">
        <v>770</v>
      </c>
      <c r="AL37" s="468">
        <v>412121</v>
      </c>
      <c r="AM37" s="527"/>
      <c r="AN37" s="566"/>
      <c r="AO37" s="473">
        <f t="shared" si="6"/>
        <v>0</v>
      </c>
      <c r="AQ37" s="464" t="s">
        <v>770</v>
      </c>
      <c r="AR37" s="468">
        <v>412121</v>
      </c>
      <c r="AS37" s="527"/>
      <c r="AT37" s="566"/>
      <c r="AU37" s="473">
        <f t="shared" si="7"/>
        <v>0</v>
      </c>
      <c r="AW37" s="464" t="s">
        <v>770</v>
      </c>
      <c r="AX37" s="468">
        <v>412121</v>
      </c>
      <c r="AY37" s="527"/>
      <c r="AZ37" s="566"/>
      <c r="BA37" s="473">
        <f t="shared" si="8"/>
        <v>0</v>
      </c>
      <c r="BC37" s="464" t="s">
        <v>770</v>
      </c>
      <c r="BD37" s="468">
        <v>412121</v>
      </c>
      <c r="BE37" s="527"/>
      <c r="BF37" s="566"/>
      <c r="BG37" s="473">
        <f t="shared" si="9"/>
        <v>0</v>
      </c>
      <c r="BI37" s="464" t="s">
        <v>770</v>
      </c>
      <c r="BJ37" s="468">
        <v>412121</v>
      </c>
      <c r="BK37" s="527"/>
      <c r="BL37" s="566"/>
      <c r="BM37" s="473">
        <f t="shared" si="10"/>
        <v>0</v>
      </c>
      <c r="BO37" s="464" t="s">
        <v>770</v>
      </c>
      <c r="BP37" s="468">
        <v>412121</v>
      </c>
      <c r="BQ37" s="527"/>
      <c r="BR37" s="566"/>
      <c r="BS37" s="473">
        <f t="shared" si="11"/>
        <v>0</v>
      </c>
    </row>
    <row r="38" spans="1:71" ht="24" customHeight="1" hidden="1">
      <c r="A38" s="464" t="s">
        <v>771</v>
      </c>
      <c r="B38" s="468">
        <v>412122</v>
      </c>
      <c r="C38" s="527"/>
      <c r="D38" s="487"/>
      <c r="E38" s="473">
        <f t="shared" si="0"/>
        <v>0</v>
      </c>
      <c r="F38" s="466"/>
      <c r="G38" s="464" t="s">
        <v>771</v>
      </c>
      <c r="H38" s="468">
        <v>412122</v>
      </c>
      <c r="I38" s="527"/>
      <c r="J38" s="566"/>
      <c r="K38" s="473">
        <f t="shared" si="1"/>
        <v>0</v>
      </c>
      <c r="M38" s="464" t="s">
        <v>771</v>
      </c>
      <c r="N38" s="468">
        <v>412122</v>
      </c>
      <c r="O38" s="527"/>
      <c r="P38" s="566"/>
      <c r="Q38" s="473">
        <f t="shared" si="2"/>
        <v>0</v>
      </c>
      <c r="S38" s="464" t="s">
        <v>771</v>
      </c>
      <c r="T38" s="468">
        <v>412122</v>
      </c>
      <c r="U38" s="527"/>
      <c r="V38" s="566"/>
      <c r="W38" s="473">
        <f t="shared" si="3"/>
        <v>0</v>
      </c>
      <c r="Y38" s="464" t="s">
        <v>771</v>
      </c>
      <c r="Z38" s="468">
        <v>412122</v>
      </c>
      <c r="AA38" s="527"/>
      <c r="AB38" s="566"/>
      <c r="AC38" s="473">
        <f t="shared" si="4"/>
        <v>0</v>
      </c>
      <c r="AE38" s="464" t="s">
        <v>771</v>
      </c>
      <c r="AF38" s="468">
        <v>412122</v>
      </c>
      <c r="AG38" s="527"/>
      <c r="AH38" s="566"/>
      <c r="AI38" s="473">
        <f t="shared" si="5"/>
        <v>0</v>
      </c>
      <c r="AK38" s="464" t="s">
        <v>771</v>
      </c>
      <c r="AL38" s="468">
        <v>412122</v>
      </c>
      <c r="AM38" s="527"/>
      <c r="AN38" s="566"/>
      <c r="AO38" s="473">
        <f t="shared" si="6"/>
        <v>0</v>
      </c>
      <c r="AQ38" s="464" t="s">
        <v>771</v>
      </c>
      <c r="AR38" s="468">
        <v>412122</v>
      </c>
      <c r="AS38" s="527"/>
      <c r="AT38" s="566"/>
      <c r="AU38" s="473">
        <f t="shared" si="7"/>
        <v>0</v>
      </c>
      <c r="AW38" s="464" t="s">
        <v>771</v>
      </c>
      <c r="AX38" s="468">
        <v>412122</v>
      </c>
      <c r="AY38" s="527"/>
      <c r="AZ38" s="566"/>
      <c r="BA38" s="473">
        <f t="shared" si="8"/>
        <v>0</v>
      </c>
      <c r="BC38" s="464" t="s">
        <v>771</v>
      </c>
      <c r="BD38" s="468">
        <v>412122</v>
      </c>
      <c r="BE38" s="527"/>
      <c r="BF38" s="566"/>
      <c r="BG38" s="473">
        <f t="shared" si="9"/>
        <v>0</v>
      </c>
      <c r="BI38" s="464" t="s">
        <v>771</v>
      </c>
      <c r="BJ38" s="468">
        <v>412122</v>
      </c>
      <c r="BK38" s="527"/>
      <c r="BL38" s="566"/>
      <c r="BM38" s="473">
        <f t="shared" si="10"/>
        <v>0</v>
      </c>
      <c r="BO38" s="464" t="s">
        <v>771</v>
      </c>
      <c r="BP38" s="468">
        <v>412122</v>
      </c>
      <c r="BQ38" s="527"/>
      <c r="BR38" s="566"/>
      <c r="BS38" s="473">
        <f t="shared" si="11"/>
        <v>0</v>
      </c>
    </row>
    <row r="39" spans="1:71" ht="24" customHeight="1" hidden="1">
      <c r="A39" s="464" t="s">
        <v>772</v>
      </c>
      <c r="B39" s="468">
        <v>412123</v>
      </c>
      <c r="C39" s="527"/>
      <c r="D39" s="487"/>
      <c r="E39" s="473">
        <f t="shared" si="0"/>
        <v>0</v>
      </c>
      <c r="F39" s="466"/>
      <c r="G39" s="464" t="s">
        <v>772</v>
      </c>
      <c r="H39" s="468">
        <v>412123</v>
      </c>
      <c r="I39" s="527"/>
      <c r="J39" s="566"/>
      <c r="K39" s="473">
        <f t="shared" si="1"/>
        <v>0</v>
      </c>
      <c r="M39" s="464" t="s">
        <v>772</v>
      </c>
      <c r="N39" s="468">
        <v>412123</v>
      </c>
      <c r="O39" s="527"/>
      <c r="P39" s="566"/>
      <c r="Q39" s="473">
        <f t="shared" si="2"/>
        <v>0</v>
      </c>
      <c r="S39" s="464" t="s">
        <v>772</v>
      </c>
      <c r="T39" s="468">
        <v>412123</v>
      </c>
      <c r="U39" s="527"/>
      <c r="V39" s="566"/>
      <c r="W39" s="473">
        <f t="shared" si="3"/>
        <v>0</v>
      </c>
      <c r="Y39" s="464" t="s">
        <v>772</v>
      </c>
      <c r="Z39" s="468">
        <v>412123</v>
      </c>
      <c r="AA39" s="527"/>
      <c r="AB39" s="566"/>
      <c r="AC39" s="473">
        <f t="shared" si="4"/>
        <v>0</v>
      </c>
      <c r="AE39" s="464" t="s">
        <v>772</v>
      </c>
      <c r="AF39" s="468">
        <v>412123</v>
      </c>
      <c r="AG39" s="527"/>
      <c r="AH39" s="566"/>
      <c r="AI39" s="473">
        <f t="shared" si="5"/>
        <v>0</v>
      </c>
      <c r="AK39" s="464" t="s">
        <v>772</v>
      </c>
      <c r="AL39" s="468">
        <v>412123</v>
      </c>
      <c r="AM39" s="527"/>
      <c r="AN39" s="566"/>
      <c r="AO39" s="473">
        <f t="shared" si="6"/>
        <v>0</v>
      </c>
      <c r="AQ39" s="464" t="s">
        <v>772</v>
      </c>
      <c r="AR39" s="468">
        <v>412123</v>
      </c>
      <c r="AS39" s="527"/>
      <c r="AT39" s="566"/>
      <c r="AU39" s="473">
        <f t="shared" si="7"/>
        <v>0</v>
      </c>
      <c r="AW39" s="464" t="s">
        <v>772</v>
      </c>
      <c r="AX39" s="468">
        <v>412123</v>
      </c>
      <c r="AY39" s="527"/>
      <c r="AZ39" s="566"/>
      <c r="BA39" s="473">
        <f t="shared" si="8"/>
        <v>0</v>
      </c>
      <c r="BC39" s="464" t="s">
        <v>772</v>
      </c>
      <c r="BD39" s="468">
        <v>412123</v>
      </c>
      <c r="BE39" s="527"/>
      <c r="BF39" s="566"/>
      <c r="BG39" s="473">
        <f t="shared" si="9"/>
        <v>0</v>
      </c>
      <c r="BI39" s="464" t="s">
        <v>772</v>
      </c>
      <c r="BJ39" s="468">
        <v>412123</v>
      </c>
      <c r="BK39" s="527"/>
      <c r="BL39" s="566"/>
      <c r="BM39" s="473">
        <f t="shared" si="10"/>
        <v>0</v>
      </c>
      <c r="BO39" s="464" t="s">
        <v>772</v>
      </c>
      <c r="BP39" s="468">
        <v>412123</v>
      </c>
      <c r="BQ39" s="527"/>
      <c r="BR39" s="566"/>
      <c r="BS39" s="473">
        <f t="shared" si="11"/>
        <v>0</v>
      </c>
    </row>
    <row r="40" spans="1:71" ht="24" customHeight="1" hidden="1">
      <c r="A40" s="464" t="s">
        <v>773</v>
      </c>
      <c r="B40" s="468">
        <v>412124</v>
      </c>
      <c r="C40" s="527"/>
      <c r="D40" s="487"/>
      <c r="E40" s="473">
        <f t="shared" si="0"/>
        <v>0</v>
      </c>
      <c r="F40" s="466"/>
      <c r="G40" s="464" t="s">
        <v>773</v>
      </c>
      <c r="H40" s="468">
        <v>412124</v>
      </c>
      <c r="I40" s="527"/>
      <c r="J40" s="566"/>
      <c r="K40" s="473">
        <f t="shared" si="1"/>
        <v>0</v>
      </c>
      <c r="M40" s="464" t="s">
        <v>773</v>
      </c>
      <c r="N40" s="468">
        <v>412124</v>
      </c>
      <c r="O40" s="527"/>
      <c r="P40" s="566"/>
      <c r="Q40" s="473">
        <f t="shared" si="2"/>
        <v>0</v>
      </c>
      <c r="S40" s="464" t="s">
        <v>773</v>
      </c>
      <c r="T40" s="468">
        <v>412124</v>
      </c>
      <c r="U40" s="527"/>
      <c r="V40" s="566"/>
      <c r="W40" s="473">
        <f t="shared" si="3"/>
        <v>0</v>
      </c>
      <c r="Y40" s="464" t="s">
        <v>773</v>
      </c>
      <c r="Z40" s="468">
        <v>412124</v>
      </c>
      <c r="AA40" s="527"/>
      <c r="AB40" s="566"/>
      <c r="AC40" s="473">
        <f t="shared" si="4"/>
        <v>0</v>
      </c>
      <c r="AE40" s="464" t="s">
        <v>773</v>
      </c>
      <c r="AF40" s="468">
        <v>412124</v>
      </c>
      <c r="AG40" s="527"/>
      <c r="AH40" s="566"/>
      <c r="AI40" s="473">
        <f t="shared" si="5"/>
        <v>0</v>
      </c>
      <c r="AK40" s="464" t="s">
        <v>773</v>
      </c>
      <c r="AL40" s="468">
        <v>412124</v>
      </c>
      <c r="AM40" s="527"/>
      <c r="AN40" s="566"/>
      <c r="AO40" s="473">
        <f t="shared" si="6"/>
        <v>0</v>
      </c>
      <c r="AQ40" s="464" t="s">
        <v>773</v>
      </c>
      <c r="AR40" s="468">
        <v>412124</v>
      </c>
      <c r="AS40" s="527"/>
      <c r="AT40" s="566"/>
      <c r="AU40" s="473">
        <f t="shared" si="7"/>
        <v>0</v>
      </c>
      <c r="AW40" s="464" t="s">
        <v>773</v>
      </c>
      <c r="AX40" s="468">
        <v>412124</v>
      </c>
      <c r="AY40" s="527"/>
      <c r="AZ40" s="566"/>
      <c r="BA40" s="473">
        <f t="shared" si="8"/>
        <v>0</v>
      </c>
      <c r="BC40" s="464" t="s">
        <v>773</v>
      </c>
      <c r="BD40" s="468">
        <v>412124</v>
      </c>
      <c r="BE40" s="527"/>
      <c r="BF40" s="566"/>
      <c r="BG40" s="473">
        <f t="shared" si="9"/>
        <v>0</v>
      </c>
      <c r="BI40" s="464" t="s">
        <v>773</v>
      </c>
      <c r="BJ40" s="468">
        <v>412124</v>
      </c>
      <c r="BK40" s="527"/>
      <c r="BL40" s="566"/>
      <c r="BM40" s="473">
        <f t="shared" si="10"/>
        <v>0</v>
      </c>
      <c r="BO40" s="464" t="s">
        <v>773</v>
      </c>
      <c r="BP40" s="468">
        <v>412124</v>
      </c>
      <c r="BQ40" s="527"/>
      <c r="BR40" s="566"/>
      <c r="BS40" s="473">
        <f t="shared" si="11"/>
        <v>0</v>
      </c>
    </row>
    <row r="41" spans="1:71" ht="24" customHeight="1" hidden="1">
      <c r="A41" s="464" t="s">
        <v>774</v>
      </c>
      <c r="B41" s="468">
        <v>412125</v>
      </c>
      <c r="C41" s="527"/>
      <c r="D41" s="487"/>
      <c r="E41" s="473">
        <f t="shared" si="0"/>
        <v>0</v>
      </c>
      <c r="F41" s="466"/>
      <c r="G41" s="464" t="s">
        <v>774</v>
      </c>
      <c r="H41" s="468">
        <v>412125</v>
      </c>
      <c r="I41" s="527"/>
      <c r="J41" s="566"/>
      <c r="K41" s="473">
        <f t="shared" si="1"/>
        <v>0</v>
      </c>
      <c r="M41" s="464" t="s">
        <v>774</v>
      </c>
      <c r="N41" s="468">
        <v>412125</v>
      </c>
      <c r="O41" s="527"/>
      <c r="P41" s="566"/>
      <c r="Q41" s="473">
        <f t="shared" si="2"/>
        <v>0</v>
      </c>
      <c r="S41" s="464" t="s">
        <v>774</v>
      </c>
      <c r="T41" s="468">
        <v>412125</v>
      </c>
      <c r="U41" s="527"/>
      <c r="V41" s="566"/>
      <c r="W41" s="473">
        <f t="shared" si="3"/>
        <v>0</v>
      </c>
      <c r="Y41" s="464" t="s">
        <v>774</v>
      </c>
      <c r="Z41" s="468">
        <v>412125</v>
      </c>
      <c r="AA41" s="527"/>
      <c r="AB41" s="566"/>
      <c r="AC41" s="473">
        <f t="shared" si="4"/>
        <v>0</v>
      </c>
      <c r="AE41" s="464" t="s">
        <v>774</v>
      </c>
      <c r="AF41" s="468">
        <v>412125</v>
      </c>
      <c r="AG41" s="527"/>
      <c r="AH41" s="566"/>
      <c r="AI41" s="473">
        <f t="shared" si="5"/>
        <v>0</v>
      </c>
      <c r="AK41" s="464" t="s">
        <v>774</v>
      </c>
      <c r="AL41" s="468">
        <v>412125</v>
      </c>
      <c r="AM41" s="527"/>
      <c r="AN41" s="566"/>
      <c r="AO41" s="473">
        <f t="shared" si="6"/>
        <v>0</v>
      </c>
      <c r="AQ41" s="464" t="s">
        <v>774</v>
      </c>
      <c r="AR41" s="468">
        <v>412125</v>
      </c>
      <c r="AS41" s="527"/>
      <c r="AT41" s="566"/>
      <c r="AU41" s="473">
        <f t="shared" si="7"/>
        <v>0</v>
      </c>
      <c r="AW41" s="464" t="s">
        <v>774</v>
      </c>
      <c r="AX41" s="468">
        <v>412125</v>
      </c>
      <c r="AY41" s="527"/>
      <c r="AZ41" s="566"/>
      <c r="BA41" s="473">
        <f t="shared" si="8"/>
        <v>0</v>
      </c>
      <c r="BC41" s="464" t="s">
        <v>774</v>
      </c>
      <c r="BD41" s="468">
        <v>412125</v>
      </c>
      <c r="BE41" s="527"/>
      <c r="BF41" s="566"/>
      <c r="BG41" s="473">
        <f t="shared" si="9"/>
        <v>0</v>
      </c>
      <c r="BI41" s="464" t="s">
        <v>774</v>
      </c>
      <c r="BJ41" s="468">
        <v>412125</v>
      </c>
      <c r="BK41" s="527"/>
      <c r="BL41" s="566"/>
      <c r="BM41" s="473">
        <f t="shared" si="10"/>
        <v>0</v>
      </c>
      <c r="BO41" s="464" t="s">
        <v>774</v>
      </c>
      <c r="BP41" s="468">
        <v>412125</v>
      </c>
      <c r="BQ41" s="527"/>
      <c r="BR41" s="566"/>
      <c r="BS41" s="473">
        <f t="shared" si="11"/>
        <v>0</v>
      </c>
    </row>
    <row r="42" spans="1:71" ht="24" customHeight="1" hidden="1">
      <c r="A42" s="464" t="s">
        <v>775</v>
      </c>
      <c r="B42" s="468"/>
      <c r="C42" s="527"/>
      <c r="D42" s="487"/>
      <c r="E42" s="473">
        <f t="shared" si="0"/>
        <v>0</v>
      </c>
      <c r="F42" s="466"/>
      <c r="G42" s="464" t="s">
        <v>775</v>
      </c>
      <c r="H42" s="468"/>
      <c r="I42" s="527"/>
      <c r="J42" s="566"/>
      <c r="K42" s="473">
        <f t="shared" si="1"/>
        <v>0</v>
      </c>
      <c r="M42" s="464" t="s">
        <v>775</v>
      </c>
      <c r="N42" s="468"/>
      <c r="O42" s="527"/>
      <c r="P42" s="566"/>
      <c r="Q42" s="473">
        <f t="shared" si="2"/>
        <v>0</v>
      </c>
      <c r="S42" s="464" t="s">
        <v>775</v>
      </c>
      <c r="T42" s="468"/>
      <c r="U42" s="527"/>
      <c r="V42" s="566"/>
      <c r="W42" s="473">
        <f t="shared" si="3"/>
        <v>0</v>
      </c>
      <c r="Y42" s="464" t="s">
        <v>775</v>
      </c>
      <c r="Z42" s="468"/>
      <c r="AA42" s="527"/>
      <c r="AB42" s="566"/>
      <c r="AC42" s="473">
        <f t="shared" si="4"/>
        <v>0</v>
      </c>
      <c r="AE42" s="464" t="s">
        <v>775</v>
      </c>
      <c r="AF42" s="468"/>
      <c r="AG42" s="527"/>
      <c r="AH42" s="566"/>
      <c r="AI42" s="473">
        <f t="shared" si="5"/>
        <v>0</v>
      </c>
      <c r="AK42" s="464" t="s">
        <v>775</v>
      </c>
      <c r="AL42" s="468"/>
      <c r="AM42" s="527"/>
      <c r="AN42" s="566"/>
      <c r="AO42" s="473">
        <f t="shared" si="6"/>
        <v>0</v>
      </c>
      <c r="AQ42" s="464" t="s">
        <v>775</v>
      </c>
      <c r="AR42" s="468"/>
      <c r="AS42" s="527"/>
      <c r="AT42" s="566"/>
      <c r="AU42" s="473">
        <f t="shared" si="7"/>
        <v>0</v>
      </c>
      <c r="AW42" s="464" t="s">
        <v>775</v>
      </c>
      <c r="AX42" s="468"/>
      <c r="AY42" s="527"/>
      <c r="AZ42" s="566"/>
      <c r="BA42" s="473">
        <f t="shared" si="8"/>
        <v>0</v>
      </c>
      <c r="BC42" s="464" t="s">
        <v>775</v>
      </c>
      <c r="BD42" s="468"/>
      <c r="BE42" s="527"/>
      <c r="BF42" s="566"/>
      <c r="BG42" s="473">
        <f t="shared" si="9"/>
        <v>0</v>
      </c>
      <c r="BI42" s="464" t="s">
        <v>775</v>
      </c>
      <c r="BJ42" s="468"/>
      <c r="BK42" s="527"/>
      <c r="BL42" s="566"/>
      <c r="BM42" s="473">
        <f t="shared" si="10"/>
        <v>0</v>
      </c>
      <c r="BO42" s="464" t="s">
        <v>775</v>
      </c>
      <c r="BP42" s="468"/>
      <c r="BQ42" s="527"/>
      <c r="BR42" s="566"/>
      <c r="BS42" s="473">
        <f t="shared" si="11"/>
        <v>0</v>
      </c>
    </row>
    <row r="43" spans="1:71" ht="24" customHeight="1" hidden="1">
      <c r="A43" s="464" t="s">
        <v>776</v>
      </c>
      <c r="B43" s="468">
        <v>412126</v>
      </c>
      <c r="C43" s="527"/>
      <c r="D43" s="487"/>
      <c r="E43" s="473">
        <f t="shared" si="0"/>
        <v>0</v>
      </c>
      <c r="F43" s="466"/>
      <c r="G43" s="464" t="s">
        <v>776</v>
      </c>
      <c r="H43" s="468">
        <v>412126</v>
      </c>
      <c r="I43" s="527"/>
      <c r="J43" s="566"/>
      <c r="K43" s="473">
        <f t="shared" si="1"/>
        <v>0</v>
      </c>
      <c r="M43" s="464" t="s">
        <v>776</v>
      </c>
      <c r="N43" s="468">
        <v>412126</v>
      </c>
      <c r="O43" s="527"/>
      <c r="P43" s="566"/>
      <c r="Q43" s="473">
        <f t="shared" si="2"/>
        <v>0</v>
      </c>
      <c r="S43" s="464" t="s">
        <v>776</v>
      </c>
      <c r="T43" s="468">
        <v>412126</v>
      </c>
      <c r="U43" s="527"/>
      <c r="V43" s="566"/>
      <c r="W43" s="473">
        <f t="shared" si="3"/>
        <v>0</v>
      </c>
      <c r="Y43" s="464" t="s">
        <v>776</v>
      </c>
      <c r="Z43" s="468">
        <v>412126</v>
      </c>
      <c r="AA43" s="527"/>
      <c r="AB43" s="566"/>
      <c r="AC43" s="473">
        <f t="shared" si="4"/>
        <v>0</v>
      </c>
      <c r="AE43" s="464" t="s">
        <v>776</v>
      </c>
      <c r="AF43" s="468">
        <v>412126</v>
      </c>
      <c r="AG43" s="527"/>
      <c r="AH43" s="566"/>
      <c r="AI43" s="473">
        <f t="shared" si="5"/>
        <v>0</v>
      </c>
      <c r="AK43" s="464" t="s">
        <v>776</v>
      </c>
      <c r="AL43" s="468">
        <v>412126</v>
      </c>
      <c r="AM43" s="527"/>
      <c r="AN43" s="566"/>
      <c r="AO43" s="473">
        <f t="shared" si="6"/>
        <v>0</v>
      </c>
      <c r="AQ43" s="464" t="s">
        <v>776</v>
      </c>
      <c r="AR43" s="468">
        <v>412126</v>
      </c>
      <c r="AS43" s="527"/>
      <c r="AT43" s="566"/>
      <c r="AU43" s="473">
        <f t="shared" si="7"/>
        <v>0</v>
      </c>
      <c r="AW43" s="464" t="s">
        <v>776</v>
      </c>
      <c r="AX43" s="468">
        <v>412126</v>
      </c>
      <c r="AY43" s="527"/>
      <c r="AZ43" s="566"/>
      <c r="BA43" s="473">
        <f t="shared" si="8"/>
        <v>0</v>
      </c>
      <c r="BC43" s="464" t="s">
        <v>776</v>
      </c>
      <c r="BD43" s="468">
        <v>412126</v>
      </c>
      <c r="BE43" s="527"/>
      <c r="BF43" s="566"/>
      <c r="BG43" s="473">
        <f t="shared" si="9"/>
        <v>0</v>
      </c>
      <c r="BI43" s="464" t="s">
        <v>776</v>
      </c>
      <c r="BJ43" s="468">
        <v>412126</v>
      </c>
      <c r="BK43" s="527"/>
      <c r="BL43" s="566"/>
      <c r="BM43" s="473">
        <f t="shared" si="10"/>
        <v>0</v>
      </c>
      <c r="BO43" s="464" t="s">
        <v>776</v>
      </c>
      <c r="BP43" s="468">
        <v>412126</v>
      </c>
      <c r="BQ43" s="527"/>
      <c r="BR43" s="566"/>
      <c r="BS43" s="473">
        <f t="shared" si="11"/>
        <v>0</v>
      </c>
    </row>
    <row r="44" spans="1:71" ht="24" customHeight="1" hidden="1">
      <c r="A44" s="464" t="s">
        <v>777</v>
      </c>
      <c r="B44" s="468">
        <v>412127</v>
      </c>
      <c r="C44" s="527"/>
      <c r="D44" s="487"/>
      <c r="E44" s="473">
        <f t="shared" si="0"/>
        <v>0</v>
      </c>
      <c r="F44" s="466"/>
      <c r="G44" s="464" t="s">
        <v>777</v>
      </c>
      <c r="H44" s="468">
        <v>412127</v>
      </c>
      <c r="I44" s="527"/>
      <c r="J44" s="566"/>
      <c r="K44" s="473">
        <f t="shared" si="1"/>
        <v>0</v>
      </c>
      <c r="M44" s="464" t="s">
        <v>777</v>
      </c>
      <c r="N44" s="468">
        <v>412127</v>
      </c>
      <c r="O44" s="527"/>
      <c r="P44" s="566"/>
      <c r="Q44" s="473">
        <f t="shared" si="2"/>
        <v>0</v>
      </c>
      <c r="S44" s="464" t="s">
        <v>777</v>
      </c>
      <c r="T44" s="468">
        <v>412127</v>
      </c>
      <c r="U44" s="527"/>
      <c r="V44" s="566"/>
      <c r="W44" s="473">
        <f t="shared" si="3"/>
        <v>0</v>
      </c>
      <c r="Y44" s="464" t="s">
        <v>777</v>
      </c>
      <c r="Z44" s="468">
        <v>412127</v>
      </c>
      <c r="AA44" s="527"/>
      <c r="AB44" s="566"/>
      <c r="AC44" s="473">
        <f t="shared" si="4"/>
        <v>0</v>
      </c>
      <c r="AE44" s="464" t="s">
        <v>777</v>
      </c>
      <c r="AF44" s="468">
        <v>412127</v>
      </c>
      <c r="AG44" s="527"/>
      <c r="AH44" s="566"/>
      <c r="AI44" s="473">
        <f t="shared" si="5"/>
        <v>0</v>
      </c>
      <c r="AK44" s="464" t="s">
        <v>777</v>
      </c>
      <c r="AL44" s="468">
        <v>412127</v>
      </c>
      <c r="AM44" s="527"/>
      <c r="AN44" s="566"/>
      <c r="AO44" s="473">
        <f t="shared" si="6"/>
        <v>0</v>
      </c>
      <c r="AQ44" s="464" t="s">
        <v>777</v>
      </c>
      <c r="AR44" s="468">
        <v>412127</v>
      </c>
      <c r="AS44" s="527"/>
      <c r="AT44" s="566"/>
      <c r="AU44" s="473">
        <f t="shared" si="7"/>
        <v>0</v>
      </c>
      <c r="AW44" s="464" t="s">
        <v>777</v>
      </c>
      <c r="AX44" s="468">
        <v>412127</v>
      </c>
      <c r="AY44" s="527"/>
      <c r="AZ44" s="566"/>
      <c r="BA44" s="473">
        <f t="shared" si="8"/>
        <v>0</v>
      </c>
      <c r="BC44" s="464" t="s">
        <v>777</v>
      </c>
      <c r="BD44" s="468">
        <v>412127</v>
      </c>
      <c r="BE44" s="527"/>
      <c r="BF44" s="566"/>
      <c r="BG44" s="473">
        <f t="shared" si="9"/>
        <v>0</v>
      </c>
      <c r="BI44" s="464" t="s">
        <v>777</v>
      </c>
      <c r="BJ44" s="468">
        <v>412127</v>
      </c>
      <c r="BK44" s="527"/>
      <c r="BL44" s="566"/>
      <c r="BM44" s="473">
        <f t="shared" si="10"/>
        <v>0</v>
      </c>
      <c r="BO44" s="464" t="s">
        <v>777</v>
      </c>
      <c r="BP44" s="468">
        <v>412127</v>
      </c>
      <c r="BQ44" s="527"/>
      <c r="BR44" s="566"/>
      <c r="BS44" s="473">
        <f t="shared" si="11"/>
        <v>0</v>
      </c>
    </row>
    <row r="45" spans="1:71" ht="24">
      <c r="A45" s="464" t="s">
        <v>778</v>
      </c>
      <c r="B45" s="468">
        <v>412128</v>
      </c>
      <c r="C45" s="527">
        <v>1000</v>
      </c>
      <c r="D45" s="487"/>
      <c r="E45" s="473">
        <f t="shared" si="0"/>
        <v>0</v>
      </c>
      <c r="F45" s="466"/>
      <c r="G45" s="464" t="s">
        <v>778</v>
      </c>
      <c r="H45" s="468">
        <v>412128</v>
      </c>
      <c r="I45" s="527">
        <v>1000</v>
      </c>
      <c r="J45" s="566"/>
      <c r="K45" s="473">
        <f t="shared" si="1"/>
        <v>0</v>
      </c>
      <c r="M45" s="464" t="s">
        <v>778</v>
      </c>
      <c r="N45" s="468">
        <v>412128</v>
      </c>
      <c r="O45" s="527">
        <v>1000</v>
      </c>
      <c r="P45" s="566"/>
      <c r="Q45" s="473">
        <f t="shared" si="2"/>
        <v>0</v>
      </c>
      <c r="S45" s="464" t="s">
        <v>778</v>
      </c>
      <c r="T45" s="468">
        <v>412128</v>
      </c>
      <c r="U45" s="527">
        <v>1000</v>
      </c>
      <c r="V45" s="566">
        <v>330</v>
      </c>
      <c r="W45" s="473">
        <f t="shared" si="3"/>
        <v>330</v>
      </c>
      <c r="Y45" s="464" t="s">
        <v>778</v>
      </c>
      <c r="Z45" s="468">
        <v>412128</v>
      </c>
      <c r="AA45" s="527">
        <v>1000</v>
      </c>
      <c r="AB45" s="566">
        <v>50</v>
      </c>
      <c r="AC45" s="473">
        <f t="shared" si="4"/>
        <v>380</v>
      </c>
      <c r="AE45" s="464" t="s">
        <v>778</v>
      </c>
      <c r="AF45" s="468">
        <v>412128</v>
      </c>
      <c r="AG45" s="527">
        <v>1000</v>
      </c>
      <c r="AH45" s="566">
        <v>120</v>
      </c>
      <c r="AI45" s="473">
        <f t="shared" si="5"/>
        <v>500</v>
      </c>
      <c r="AK45" s="464" t="s">
        <v>778</v>
      </c>
      <c r="AL45" s="468">
        <v>412128</v>
      </c>
      <c r="AM45" s="527">
        <v>1000</v>
      </c>
      <c r="AN45" s="566">
        <v>120</v>
      </c>
      <c r="AO45" s="473">
        <f t="shared" si="6"/>
        <v>620</v>
      </c>
      <c r="AQ45" s="464" t="s">
        <v>778</v>
      </c>
      <c r="AR45" s="468">
        <v>412128</v>
      </c>
      <c r="AS45" s="527">
        <v>1000</v>
      </c>
      <c r="AT45" s="566"/>
      <c r="AU45" s="473">
        <f t="shared" si="7"/>
        <v>620</v>
      </c>
      <c r="AW45" s="464" t="s">
        <v>778</v>
      </c>
      <c r="AX45" s="468">
        <v>412128</v>
      </c>
      <c r="AY45" s="527">
        <v>1000</v>
      </c>
      <c r="AZ45" s="566">
        <f>100-330</f>
        <v>-230</v>
      </c>
      <c r="BA45" s="617">
        <f>+AH45+AN45+AT45+AZ45+AB45+V45+P45+J45+D45</f>
        <v>390</v>
      </c>
      <c r="BC45" s="464" t="s">
        <v>778</v>
      </c>
      <c r="BD45" s="468">
        <v>412128</v>
      </c>
      <c r="BE45" s="527">
        <v>1000</v>
      </c>
      <c r="BF45" s="566">
        <v>50</v>
      </c>
      <c r="BG45" s="473">
        <f t="shared" si="9"/>
        <v>440</v>
      </c>
      <c r="BI45" s="464" t="s">
        <v>778</v>
      </c>
      <c r="BJ45" s="468">
        <v>412128</v>
      </c>
      <c r="BK45" s="527">
        <v>1000</v>
      </c>
      <c r="BL45" s="566">
        <v>100</v>
      </c>
      <c r="BM45" s="473">
        <f t="shared" si="10"/>
        <v>540</v>
      </c>
      <c r="BO45" s="464" t="s">
        <v>778</v>
      </c>
      <c r="BP45" s="468">
        <v>412128</v>
      </c>
      <c r="BQ45" s="527">
        <v>1000</v>
      </c>
      <c r="BR45" s="566">
        <v>170</v>
      </c>
      <c r="BS45" s="473">
        <f t="shared" si="11"/>
        <v>710</v>
      </c>
    </row>
    <row r="46" spans="1:71" ht="24" customHeight="1" hidden="1">
      <c r="A46" s="464" t="s">
        <v>779</v>
      </c>
      <c r="B46" s="468">
        <v>412199</v>
      </c>
      <c r="C46" s="527"/>
      <c r="D46" s="487"/>
      <c r="E46" s="473">
        <f t="shared" si="0"/>
        <v>0</v>
      </c>
      <c r="F46" s="466"/>
      <c r="G46" s="464" t="s">
        <v>779</v>
      </c>
      <c r="H46" s="468">
        <v>412199</v>
      </c>
      <c r="I46" s="527"/>
      <c r="J46" s="566"/>
      <c r="K46" s="473">
        <f t="shared" si="1"/>
        <v>0</v>
      </c>
      <c r="M46" s="464" t="s">
        <v>779</v>
      </c>
      <c r="N46" s="468">
        <v>412199</v>
      </c>
      <c r="O46" s="527"/>
      <c r="P46" s="566"/>
      <c r="Q46" s="473">
        <f t="shared" si="2"/>
        <v>0</v>
      </c>
      <c r="S46" s="464" t="s">
        <v>779</v>
      </c>
      <c r="T46" s="468">
        <v>412199</v>
      </c>
      <c r="U46" s="527"/>
      <c r="V46" s="566"/>
      <c r="W46" s="473">
        <f t="shared" si="3"/>
        <v>0</v>
      </c>
      <c r="Y46" s="464" t="s">
        <v>779</v>
      </c>
      <c r="Z46" s="468">
        <v>412199</v>
      </c>
      <c r="AA46" s="527"/>
      <c r="AB46" s="566"/>
      <c r="AC46" s="473">
        <f t="shared" si="4"/>
        <v>0</v>
      </c>
      <c r="AE46" s="464" t="s">
        <v>779</v>
      </c>
      <c r="AF46" s="468">
        <v>412199</v>
      </c>
      <c r="AG46" s="527"/>
      <c r="AH46" s="566"/>
      <c r="AI46" s="473">
        <f t="shared" si="5"/>
        <v>0</v>
      </c>
      <c r="AK46" s="464" t="s">
        <v>779</v>
      </c>
      <c r="AL46" s="468">
        <v>412199</v>
      </c>
      <c r="AM46" s="527"/>
      <c r="AN46" s="566"/>
      <c r="AO46" s="473">
        <f t="shared" si="6"/>
        <v>0</v>
      </c>
      <c r="AQ46" s="464" t="s">
        <v>779</v>
      </c>
      <c r="AR46" s="468">
        <v>412199</v>
      </c>
      <c r="AS46" s="527"/>
      <c r="AT46" s="566"/>
      <c r="AU46" s="473">
        <f t="shared" si="7"/>
        <v>0</v>
      </c>
      <c r="AW46" s="464" t="s">
        <v>779</v>
      </c>
      <c r="AX46" s="468">
        <v>412199</v>
      </c>
      <c r="AY46" s="527"/>
      <c r="AZ46" s="566"/>
      <c r="BA46" s="473">
        <f t="shared" si="8"/>
        <v>0</v>
      </c>
      <c r="BC46" s="464" t="s">
        <v>779</v>
      </c>
      <c r="BD46" s="468">
        <v>412199</v>
      </c>
      <c r="BE46" s="527"/>
      <c r="BF46" s="566"/>
      <c r="BG46" s="473">
        <f t="shared" si="9"/>
        <v>0</v>
      </c>
      <c r="BI46" s="464" t="s">
        <v>779</v>
      </c>
      <c r="BJ46" s="468">
        <v>412199</v>
      </c>
      <c r="BK46" s="527"/>
      <c r="BL46" s="566"/>
      <c r="BM46" s="473">
        <f t="shared" si="10"/>
        <v>0</v>
      </c>
      <c r="BO46" s="464" t="s">
        <v>779</v>
      </c>
      <c r="BP46" s="468">
        <v>412199</v>
      </c>
      <c r="BQ46" s="527"/>
      <c r="BR46" s="566"/>
      <c r="BS46" s="473">
        <f t="shared" si="11"/>
        <v>0</v>
      </c>
    </row>
    <row r="47" spans="1:71" ht="24" customHeight="1" hidden="1">
      <c r="A47" s="464" t="s">
        <v>780</v>
      </c>
      <c r="B47" s="468">
        <v>412201</v>
      </c>
      <c r="C47" s="527"/>
      <c r="D47" s="487"/>
      <c r="E47" s="473">
        <f t="shared" si="0"/>
        <v>0</v>
      </c>
      <c r="F47" s="466"/>
      <c r="G47" s="464" t="s">
        <v>780</v>
      </c>
      <c r="H47" s="468">
        <v>412201</v>
      </c>
      <c r="I47" s="527"/>
      <c r="J47" s="566"/>
      <c r="K47" s="473">
        <f t="shared" si="1"/>
        <v>0</v>
      </c>
      <c r="M47" s="464" t="s">
        <v>780</v>
      </c>
      <c r="N47" s="468">
        <v>412201</v>
      </c>
      <c r="O47" s="527"/>
      <c r="P47" s="566"/>
      <c r="Q47" s="473">
        <f t="shared" si="2"/>
        <v>0</v>
      </c>
      <c r="S47" s="464" t="s">
        <v>780</v>
      </c>
      <c r="T47" s="468">
        <v>412201</v>
      </c>
      <c r="U47" s="527"/>
      <c r="V47" s="566"/>
      <c r="W47" s="473">
        <f t="shared" si="3"/>
        <v>0</v>
      </c>
      <c r="Y47" s="464" t="s">
        <v>780</v>
      </c>
      <c r="Z47" s="468">
        <v>412201</v>
      </c>
      <c r="AA47" s="527"/>
      <c r="AB47" s="566"/>
      <c r="AC47" s="473">
        <f t="shared" si="4"/>
        <v>0</v>
      </c>
      <c r="AE47" s="464" t="s">
        <v>780</v>
      </c>
      <c r="AF47" s="468">
        <v>412201</v>
      </c>
      <c r="AG47" s="527"/>
      <c r="AH47" s="566"/>
      <c r="AI47" s="473">
        <f t="shared" si="5"/>
        <v>0</v>
      </c>
      <c r="AK47" s="464" t="s">
        <v>780</v>
      </c>
      <c r="AL47" s="468">
        <v>412201</v>
      </c>
      <c r="AM47" s="527"/>
      <c r="AN47" s="566"/>
      <c r="AO47" s="473">
        <f t="shared" si="6"/>
        <v>0</v>
      </c>
      <c r="AQ47" s="464" t="s">
        <v>780</v>
      </c>
      <c r="AR47" s="468">
        <v>412201</v>
      </c>
      <c r="AS47" s="527"/>
      <c r="AT47" s="566"/>
      <c r="AU47" s="473">
        <f t="shared" si="7"/>
        <v>0</v>
      </c>
      <c r="AW47" s="464" t="s">
        <v>780</v>
      </c>
      <c r="AX47" s="468">
        <v>412201</v>
      </c>
      <c r="AY47" s="527"/>
      <c r="AZ47" s="566"/>
      <c r="BA47" s="473">
        <f t="shared" si="8"/>
        <v>0</v>
      </c>
      <c r="BC47" s="464" t="s">
        <v>780</v>
      </c>
      <c r="BD47" s="468">
        <v>412201</v>
      </c>
      <c r="BE47" s="527"/>
      <c r="BF47" s="566"/>
      <c r="BG47" s="473">
        <f t="shared" si="9"/>
        <v>0</v>
      </c>
      <c r="BI47" s="464" t="s">
        <v>780</v>
      </c>
      <c r="BJ47" s="468">
        <v>412201</v>
      </c>
      <c r="BK47" s="527"/>
      <c r="BL47" s="566"/>
      <c r="BM47" s="473">
        <f t="shared" si="10"/>
        <v>0</v>
      </c>
      <c r="BO47" s="464" t="s">
        <v>780</v>
      </c>
      <c r="BP47" s="468">
        <v>412201</v>
      </c>
      <c r="BQ47" s="527"/>
      <c r="BR47" s="566"/>
      <c r="BS47" s="473">
        <f t="shared" si="11"/>
        <v>0</v>
      </c>
    </row>
    <row r="48" spans="1:71" ht="24">
      <c r="A48" s="464" t="s">
        <v>781</v>
      </c>
      <c r="B48" s="468">
        <v>412202</v>
      </c>
      <c r="C48" s="527">
        <v>4000</v>
      </c>
      <c r="D48" s="487">
        <v>400</v>
      </c>
      <c r="E48" s="473">
        <f t="shared" si="0"/>
        <v>400</v>
      </c>
      <c r="F48" s="466"/>
      <c r="G48" s="464" t="s">
        <v>781</v>
      </c>
      <c r="H48" s="468">
        <v>412202</v>
      </c>
      <c r="I48" s="527">
        <v>4000</v>
      </c>
      <c r="J48" s="566"/>
      <c r="K48" s="473">
        <f t="shared" si="1"/>
        <v>400</v>
      </c>
      <c r="M48" s="464" t="s">
        <v>781</v>
      </c>
      <c r="N48" s="468">
        <v>412202</v>
      </c>
      <c r="O48" s="527">
        <v>4000</v>
      </c>
      <c r="P48" s="566">
        <v>400</v>
      </c>
      <c r="Q48" s="473">
        <f t="shared" si="2"/>
        <v>800</v>
      </c>
      <c r="S48" s="464" t="s">
        <v>781</v>
      </c>
      <c r="T48" s="468">
        <v>412202</v>
      </c>
      <c r="U48" s="527">
        <v>4000</v>
      </c>
      <c r="V48" s="566">
        <v>400</v>
      </c>
      <c r="W48" s="473">
        <f t="shared" si="3"/>
        <v>1200</v>
      </c>
      <c r="Y48" s="464" t="s">
        <v>781</v>
      </c>
      <c r="Z48" s="468">
        <v>412202</v>
      </c>
      <c r="AA48" s="527">
        <v>4000</v>
      </c>
      <c r="AB48" s="566"/>
      <c r="AC48" s="473">
        <f t="shared" si="4"/>
        <v>1200</v>
      </c>
      <c r="AE48" s="464" t="s">
        <v>781</v>
      </c>
      <c r="AF48" s="468">
        <v>412202</v>
      </c>
      <c r="AG48" s="527">
        <v>4000</v>
      </c>
      <c r="AH48" s="566">
        <v>400</v>
      </c>
      <c r="AI48" s="473">
        <f t="shared" si="5"/>
        <v>1600</v>
      </c>
      <c r="AK48" s="464" t="s">
        <v>781</v>
      </c>
      <c r="AL48" s="468">
        <v>412202</v>
      </c>
      <c r="AM48" s="527">
        <v>4000</v>
      </c>
      <c r="AN48" s="566"/>
      <c r="AO48" s="473">
        <f t="shared" si="6"/>
        <v>1600</v>
      </c>
      <c r="AQ48" s="464" t="s">
        <v>781</v>
      </c>
      <c r="AR48" s="468">
        <v>412202</v>
      </c>
      <c r="AS48" s="527">
        <v>4000</v>
      </c>
      <c r="AT48" s="566"/>
      <c r="AU48" s="473">
        <f t="shared" si="7"/>
        <v>1600</v>
      </c>
      <c r="AW48" s="464" t="s">
        <v>781</v>
      </c>
      <c r="AX48" s="468">
        <v>412202</v>
      </c>
      <c r="AY48" s="527">
        <v>4000</v>
      </c>
      <c r="AZ48" s="566"/>
      <c r="BA48" s="473">
        <f t="shared" si="8"/>
        <v>1600</v>
      </c>
      <c r="BC48" s="464" t="s">
        <v>781</v>
      </c>
      <c r="BD48" s="468">
        <v>412202</v>
      </c>
      <c r="BE48" s="527">
        <v>4000</v>
      </c>
      <c r="BF48" s="566"/>
      <c r="BG48" s="473">
        <f t="shared" si="9"/>
        <v>1600</v>
      </c>
      <c r="BI48" s="464" t="s">
        <v>781</v>
      </c>
      <c r="BJ48" s="468">
        <v>412202</v>
      </c>
      <c r="BK48" s="527">
        <v>4000</v>
      </c>
      <c r="BL48" s="566"/>
      <c r="BM48" s="473">
        <f t="shared" si="10"/>
        <v>1600</v>
      </c>
      <c r="BO48" s="464" t="s">
        <v>781</v>
      </c>
      <c r="BP48" s="468">
        <v>412202</v>
      </c>
      <c r="BQ48" s="527">
        <v>4000</v>
      </c>
      <c r="BR48" s="566"/>
      <c r="BS48" s="473">
        <f t="shared" si="11"/>
        <v>1600</v>
      </c>
    </row>
    <row r="49" spans="1:71" ht="24" customHeight="1" hidden="1">
      <c r="A49" s="464" t="s">
        <v>782</v>
      </c>
      <c r="B49" s="468">
        <v>412203</v>
      </c>
      <c r="C49" s="527"/>
      <c r="D49" s="487"/>
      <c r="E49" s="473">
        <f t="shared" si="0"/>
        <v>0</v>
      </c>
      <c r="F49" s="466"/>
      <c r="G49" s="464" t="s">
        <v>782</v>
      </c>
      <c r="H49" s="468">
        <v>412203</v>
      </c>
      <c r="I49" s="527"/>
      <c r="J49" s="566"/>
      <c r="K49" s="473">
        <f t="shared" si="1"/>
        <v>0</v>
      </c>
      <c r="M49" s="464" t="s">
        <v>782</v>
      </c>
      <c r="N49" s="468">
        <v>412203</v>
      </c>
      <c r="O49" s="527"/>
      <c r="P49" s="566"/>
      <c r="Q49" s="473">
        <f t="shared" si="2"/>
        <v>0</v>
      </c>
      <c r="S49" s="464" t="s">
        <v>782</v>
      </c>
      <c r="T49" s="468">
        <v>412203</v>
      </c>
      <c r="U49" s="527"/>
      <c r="V49" s="566"/>
      <c r="W49" s="473">
        <f t="shared" si="3"/>
        <v>0</v>
      </c>
      <c r="Y49" s="464" t="s">
        <v>782</v>
      </c>
      <c r="Z49" s="468">
        <v>412203</v>
      </c>
      <c r="AA49" s="527"/>
      <c r="AB49" s="566"/>
      <c r="AC49" s="473">
        <f t="shared" si="4"/>
        <v>0</v>
      </c>
      <c r="AE49" s="464" t="s">
        <v>782</v>
      </c>
      <c r="AF49" s="468">
        <v>412203</v>
      </c>
      <c r="AG49" s="527"/>
      <c r="AH49" s="566"/>
      <c r="AI49" s="473">
        <f t="shared" si="5"/>
        <v>0</v>
      </c>
      <c r="AK49" s="464" t="s">
        <v>782</v>
      </c>
      <c r="AL49" s="468">
        <v>412203</v>
      </c>
      <c r="AM49" s="527"/>
      <c r="AN49" s="566"/>
      <c r="AO49" s="473">
        <f t="shared" si="6"/>
        <v>0</v>
      </c>
      <c r="AQ49" s="464" t="s">
        <v>782</v>
      </c>
      <c r="AR49" s="468">
        <v>412203</v>
      </c>
      <c r="AS49" s="527"/>
      <c r="AT49" s="566"/>
      <c r="AU49" s="473">
        <f t="shared" si="7"/>
        <v>0</v>
      </c>
      <c r="AW49" s="464" t="s">
        <v>782</v>
      </c>
      <c r="AX49" s="468">
        <v>412203</v>
      </c>
      <c r="AY49" s="527"/>
      <c r="AZ49" s="566"/>
      <c r="BA49" s="473">
        <f t="shared" si="8"/>
        <v>0</v>
      </c>
      <c r="BC49" s="464" t="s">
        <v>782</v>
      </c>
      <c r="BD49" s="468">
        <v>412203</v>
      </c>
      <c r="BE49" s="527"/>
      <c r="BF49" s="566"/>
      <c r="BG49" s="473">
        <f t="shared" si="9"/>
        <v>0</v>
      </c>
      <c r="BI49" s="464" t="s">
        <v>782</v>
      </c>
      <c r="BJ49" s="468">
        <v>412203</v>
      </c>
      <c r="BK49" s="527"/>
      <c r="BL49" s="566"/>
      <c r="BM49" s="473">
        <f t="shared" si="10"/>
        <v>0</v>
      </c>
      <c r="BO49" s="464" t="s">
        <v>782</v>
      </c>
      <c r="BP49" s="468">
        <v>412203</v>
      </c>
      <c r="BQ49" s="527"/>
      <c r="BR49" s="566"/>
      <c r="BS49" s="473">
        <f t="shared" si="11"/>
        <v>0</v>
      </c>
    </row>
    <row r="50" spans="1:71" ht="24" customHeight="1" hidden="1">
      <c r="A50" s="464" t="s">
        <v>783</v>
      </c>
      <c r="B50" s="468">
        <v>412204</v>
      </c>
      <c r="C50" s="527"/>
      <c r="D50" s="487"/>
      <c r="E50" s="473">
        <f t="shared" si="0"/>
        <v>0</v>
      </c>
      <c r="F50" s="466"/>
      <c r="G50" s="464" t="s">
        <v>783</v>
      </c>
      <c r="H50" s="468">
        <v>412204</v>
      </c>
      <c r="I50" s="527"/>
      <c r="J50" s="566"/>
      <c r="K50" s="473">
        <f t="shared" si="1"/>
        <v>0</v>
      </c>
      <c r="M50" s="464" t="s">
        <v>783</v>
      </c>
      <c r="N50" s="468">
        <v>412204</v>
      </c>
      <c r="O50" s="527"/>
      <c r="P50" s="566"/>
      <c r="Q50" s="473">
        <f t="shared" si="2"/>
        <v>0</v>
      </c>
      <c r="S50" s="464" t="s">
        <v>783</v>
      </c>
      <c r="T50" s="468">
        <v>412204</v>
      </c>
      <c r="U50" s="527"/>
      <c r="V50" s="566"/>
      <c r="W50" s="473">
        <f t="shared" si="3"/>
        <v>0</v>
      </c>
      <c r="Y50" s="464" t="s">
        <v>783</v>
      </c>
      <c r="Z50" s="468">
        <v>412204</v>
      </c>
      <c r="AA50" s="527"/>
      <c r="AB50" s="566"/>
      <c r="AC50" s="473">
        <f t="shared" si="4"/>
        <v>0</v>
      </c>
      <c r="AE50" s="464" t="s">
        <v>783</v>
      </c>
      <c r="AF50" s="468">
        <v>412204</v>
      </c>
      <c r="AG50" s="527"/>
      <c r="AH50" s="566"/>
      <c r="AI50" s="473">
        <f t="shared" si="5"/>
        <v>0</v>
      </c>
      <c r="AK50" s="464" t="s">
        <v>783</v>
      </c>
      <c r="AL50" s="468">
        <v>412204</v>
      </c>
      <c r="AM50" s="527"/>
      <c r="AN50" s="566"/>
      <c r="AO50" s="473">
        <f t="shared" si="6"/>
        <v>0</v>
      </c>
      <c r="AQ50" s="464" t="s">
        <v>783</v>
      </c>
      <c r="AR50" s="468">
        <v>412204</v>
      </c>
      <c r="AS50" s="527"/>
      <c r="AT50" s="566"/>
      <c r="AU50" s="473">
        <f t="shared" si="7"/>
        <v>0</v>
      </c>
      <c r="AW50" s="464" t="s">
        <v>783</v>
      </c>
      <c r="AX50" s="468">
        <v>412204</v>
      </c>
      <c r="AY50" s="527"/>
      <c r="AZ50" s="566"/>
      <c r="BA50" s="473">
        <f t="shared" si="8"/>
        <v>0</v>
      </c>
      <c r="BC50" s="464" t="s">
        <v>783</v>
      </c>
      <c r="BD50" s="468">
        <v>412204</v>
      </c>
      <c r="BE50" s="527"/>
      <c r="BF50" s="566"/>
      <c r="BG50" s="473">
        <f t="shared" si="9"/>
        <v>0</v>
      </c>
      <c r="BI50" s="464" t="s">
        <v>783</v>
      </c>
      <c r="BJ50" s="468">
        <v>412204</v>
      </c>
      <c r="BK50" s="527"/>
      <c r="BL50" s="566"/>
      <c r="BM50" s="473">
        <f t="shared" si="10"/>
        <v>0</v>
      </c>
      <c r="BO50" s="464" t="s">
        <v>783</v>
      </c>
      <c r="BP50" s="468">
        <v>412204</v>
      </c>
      <c r="BQ50" s="527"/>
      <c r="BR50" s="566"/>
      <c r="BS50" s="473">
        <f t="shared" si="11"/>
        <v>0</v>
      </c>
    </row>
    <row r="51" spans="1:71" ht="24" customHeight="1" hidden="1">
      <c r="A51" s="464" t="s">
        <v>784</v>
      </c>
      <c r="B51" s="468"/>
      <c r="C51" s="527"/>
      <c r="D51" s="487"/>
      <c r="E51" s="473">
        <f t="shared" si="0"/>
        <v>0</v>
      </c>
      <c r="F51" s="466"/>
      <c r="G51" s="464" t="s">
        <v>784</v>
      </c>
      <c r="H51" s="468"/>
      <c r="I51" s="527"/>
      <c r="J51" s="566"/>
      <c r="K51" s="473">
        <f t="shared" si="1"/>
        <v>0</v>
      </c>
      <c r="M51" s="464" t="s">
        <v>784</v>
      </c>
      <c r="N51" s="468"/>
      <c r="O51" s="527"/>
      <c r="P51" s="566"/>
      <c r="Q51" s="473">
        <f t="shared" si="2"/>
        <v>0</v>
      </c>
      <c r="S51" s="464" t="s">
        <v>784</v>
      </c>
      <c r="T51" s="468"/>
      <c r="U51" s="527"/>
      <c r="V51" s="566"/>
      <c r="W51" s="473">
        <f t="shared" si="3"/>
        <v>0</v>
      </c>
      <c r="Y51" s="464" t="s">
        <v>784</v>
      </c>
      <c r="Z51" s="468"/>
      <c r="AA51" s="527"/>
      <c r="AB51" s="566"/>
      <c r="AC51" s="473">
        <f t="shared" si="4"/>
        <v>0</v>
      </c>
      <c r="AE51" s="464" t="s">
        <v>784</v>
      </c>
      <c r="AF51" s="468"/>
      <c r="AG51" s="527"/>
      <c r="AH51" s="566"/>
      <c r="AI51" s="473">
        <f t="shared" si="5"/>
        <v>0</v>
      </c>
      <c r="AK51" s="464" t="s">
        <v>784</v>
      </c>
      <c r="AL51" s="468"/>
      <c r="AM51" s="527"/>
      <c r="AN51" s="566"/>
      <c r="AO51" s="473">
        <f t="shared" si="6"/>
        <v>0</v>
      </c>
      <c r="AQ51" s="464" t="s">
        <v>784</v>
      </c>
      <c r="AR51" s="468"/>
      <c r="AS51" s="527"/>
      <c r="AT51" s="566"/>
      <c r="AU51" s="473">
        <f t="shared" si="7"/>
        <v>0</v>
      </c>
      <c r="AW51" s="464" t="s">
        <v>784</v>
      </c>
      <c r="AX51" s="468"/>
      <c r="AY51" s="527"/>
      <c r="AZ51" s="566"/>
      <c r="BA51" s="473">
        <f t="shared" si="8"/>
        <v>0</v>
      </c>
      <c r="BC51" s="464" t="s">
        <v>784</v>
      </c>
      <c r="BD51" s="468"/>
      <c r="BE51" s="527"/>
      <c r="BF51" s="566"/>
      <c r="BG51" s="473">
        <f t="shared" si="9"/>
        <v>0</v>
      </c>
      <c r="BI51" s="464" t="s">
        <v>784</v>
      </c>
      <c r="BJ51" s="468"/>
      <c r="BK51" s="527"/>
      <c r="BL51" s="566"/>
      <c r="BM51" s="473">
        <f t="shared" si="10"/>
        <v>0</v>
      </c>
      <c r="BO51" s="464" t="s">
        <v>784</v>
      </c>
      <c r="BP51" s="468"/>
      <c r="BQ51" s="527"/>
      <c r="BR51" s="566"/>
      <c r="BS51" s="473">
        <f t="shared" si="11"/>
        <v>0</v>
      </c>
    </row>
    <row r="52" spans="1:71" ht="24" customHeight="1" hidden="1">
      <c r="A52" s="464" t="s">
        <v>785</v>
      </c>
      <c r="B52" s="468">
        <v>412205</v>
      </c>
      <c r="C52" s="527"/>
      <c r="D52" s="487"/>
      <c r="E52" s="473">
        <f t="shared" si="0"/>
        <v>0</v>
      </c>
      <c r="F52" s="466"/>
      <c r="G52" s="464" t="s">
        <v>785</v>
      </c>
      <c r="H52" s="468">
        <v>412205</v>
      </c>
      <c r="I52" s="527"/>
      <c r="J52" s="566"/>
      <c r="K52" s="473">
        <f t="shared" si="1"/>
        <v>0</v>
      </c>
      <c r="M52" s="464" t="s">
        <v>785</v>
      </c>
      <c r="N52" s="468">
        <v>412205</v>
      </c>
      <c r="O52" s="527"/>
      <c r="P52" s="566"/>
      <c r="Q52" s="473">
        <f t="shared" si="2"/>
        <v>0</v>
      </c>
      <c r="S52" s="464" t="s">
        <v>785</v>
      </c>
      <c r="T52" s="468">
        <v>412205</v>
      </c>
      <c r="U52" s="527"/>
      <c r="V52" s="566"/>
      <c r="W52" s="473">
        <f t="shared" si="3"/>
        <v>0</v>
      </c>
      <c r="Y52" s="464" t="s">
        <v>785</v>
      </c>
      <c r="Z52" s="468">
        <v>412205</v>
      </c>
      <c r="AA52" s="527"/>
      <c r="AB52" s="566"/>
      <c r="AC52" s="473">
        <f t="shared" si="4"/>
        <v>0</v>
      </c>
      <c r="AE52" s="464" t="s">
        <v>785</v>
      </c>
      <c r="AF52" s="468">
        <v>412205</v>
      </c>
      <c r="AG52" s="527"/>
      <c r="AH52" s="566"/>
      <c r="AI52" s="473">
        <f t="shared" si="5"/>
        <v>0</v>
      </c>
      <c r="AK52" s="464" t="s">
        <v>785</v>
      </c>
      <c r="AL52" s="468">
        <v>412205</v>
      </c>
      <c r="AM52" s="527"/>
      <c r="AN52" s="566"/>
      <c r="AO52" s="473">
        <f t="shared" si="6"/>
        <v>0</v>
      </c>
      <c r="AQ52" s="464" t="s">
        <v>785</v>
      </c>
      <c r="AR52" s="468">
        <v>412205</v>
      </c>
      <c r="AS52" s="527"/>
      <c r="AT52" s="566"/>
      <c r="AU52" s="473">
        <f t="shared" si="7"/>
        <v>0</v>
      </c>
      <c r="AW52" s="464" t="s">
        <v>785</v>
      </c>
      <c r="AX52" s="468">
        <v>412205</v>
      </c>
      <c r="AY52" s="527"/>
      <c r="AZ52" s="566"/>
      <c r="BA52" s="473">
        <f t="shared" si="8"/>
        <v>0</v>
      </c>
      <c r="BC52" s="464" t="s">
        <v>785</v>
      </c>
      <c r="BD52" s="468">
        <v>412205</v>
      </c>
      <c r="BE52" s="527"/>
      <c r="BF52" s="566"/>
      <c r="BG52" s="473">
        <f t="shared" si="9"/>
        <v>0</v>
      </c>
      <c r="BI52" s="464" t="s">
        <v>785</v>
      </c>
      <c r="BJ52" s="468">
        <v>412205</v>
      </c>
      <c r="BK52" s="527"/>
      <c r="BL52" s="566"/>
      <c r="BM52" s="473">
        <f t="shared" si="10"/>
        <v>0</v>
      </c>
      <c r="BO52" s="464" t="s">
        <v>785</v>
      </c>
      <c r="BP52" s="468">
        <v>412205</v>
      </c>
      <c r="BQ52" s="527"/>
      <c r="BR52" s="566"/>
      <c r="BS52" s="473">
        <f t="shared" si="11"/>
        <v>0</v>
      </c>
    </row>
    <row r="53" spans="1:71" ht="24" customHeight="1" hidden="1">
      <c r="A53" s="464" t="s">
        <v>786</v>
      </c>
      <c r="B53" s="468">
        <v>412206</v>
      </c>
      <c r="C53" s="527"/>
      <c r="D53" s="487"/>
      <c r="E53" s="473">
        <f t="shared" si="0"/>
        <v>0</v>
      </c>
      <c r="F53" s="466"/>
      <c r="G53" s="464" t="s">
        <v>786</v>
      </c>
      <c r="H53" s="468">
        <v>412206</v>
      </c>
      <c r="I53" s="527"/>
      <c r="J53" s="566"/>
      <c r="K53" s="473">
        <f t="shared" si="1"/>
        <v>0</v>
      </c>
      <c r="M53" s="464" t="s">
        <v>786</v>
      </c>
      <c r="N53" s="468">
        <v>412206</v>
      </c>
      <c r="O53" s="527"/>
      <c r="P53" s="566"/>
      <c r="Q53" s="473">
        <f t="shared" si="2"/>
        <v>0</v>
      </c>
      <c r="S53" s="464" t="s">
        <v>786</v>
      </c>
      <c r="T53" s="468">
        <v>412206</v>
      </c>
      <c r="U53" s="527"/>
      <c r="V53" s="566"/>
      <c r="W53" s="473">
        <f t="shared" si="3"/>
        <v>0</v>
      </c>
      <c r="Y53" s="464" t="s">
        <v>786</v>
      </c>
      <c r="Z53" s="468">
        <v>412206</v>
      </c>
      <c r="AA53" s="527"/>
      <c r="AB53" s="566"/>
      <c r="AC53" s="473">
        <f t="shared" si="4"/>
        <v>0</v>
      </c>
      <c r="AE53" s="464" t="s">
        <v>786</v>
      </c>
      <c r="AF53" s="468">
        <v>412206</v>
      </c>
      <c r="AG53" s="527"/>
      <c r="AH53" s="566"/>
      <c r="AI53" s="473">
        <f t="shared" si="5"/>
        <v>0</v>
      </c>
      <c r="AK53" s="464" t="s">
        <v>786</v>
      </c>
      <c r="AL53" s="468">
        <v>412206</v>
      </c>
      <c r="AM53" s="527"/>
      <c r="AN53" s="566"/>
      <c r="AO53" s="473">
        <f t="shared" si="6"/>
        <v>0</v>
      </c>
      <c r="AQ53" s="464" t="s">
        <v>786</v>
      </c>
      <c r="AR53" s="468">
        <v>412206</v>
      </c>
      <c r="AS53" s="527"/>
      <c r="AT53" s="566"/>
      <c r="AU53" s="473">
        <f t="shared" si="7"/>
        <v>0</v>
      </c>
      <c r="AW53" s="464" t="s">
        <v>786</v>
      </c>
      <c r="AX53" s="468">
        <v>412206</v>
      </c>
      <c r="AY53" s="527"/>
      <c r="AZ53" s="566"/>
      <c r="BA53" s="473">
        <f t="shared" si="8"/>
        <v>0</v>
      </c>
      <c r="BC53" s="464" t="s">
        <v>786</v>
      </c>
      <c r="BD53" s="468">
        <v>412206</v>
      </c>
      <c r="BE53" s="527"/>
      <c r="BF53" s="566"/>
      <c r="BG53" s="473">
        <f t="shared" si="9"/>
        <v>0</v>
      </c>
      <c r="BI53" s="464" t="s">
        <v>786</v>
      </c>
      <c r="BJ53" s="468">
        <v>412206</v>
      </c>
      <c r="BK53" s="527"/>
      <c r="BL53" s="566"/>
      <c r="BM53" s="473">
        <f t="shared" si="10"/>
        <v>0</v>
      </c>
      <c r="BO53" s="464" t="s">
        <v>786</v>
      </c>
      <c r="BP53" s="468">
        <v>412206</v>
      </c>
      <c r="BQ53" s="527"/>
      <c r="BR53" s="566"/>
      <c r="BS53" s="473">
        <f t="shared" si="11"/>
        <v>0</v>
      </c>
    </row>
    <row r="54" spans="1:71" ht="24" customHeight="1" hidden="1">
      <c r="A54" s="464" t="s">
        <v>787</v>
      </c>
      <c r="B54" s="468">
        <v>412207</v>
      </c>
      <c r="C54" s="527"/>
      <c r="D54" s="487"/>
      <c r="E54" s="473">
        <f t="shared" si="0"/>
        <v>0</v>
      </c>
      <c r="F54" s="466"/>
      <c r="G54" s="464" t="s">
        <v>787</v>
      </c>
      <c r="H54" s="468">
        <v>412207</v>
      </c>
      <c r="I54" s="527"/>
      <c r="J54" s="566"/>
      <c r="K54" s="473">
        <f t="shared" si="1"/>
        <v>0</v>
      </c>
      <c r="M54" s="464" t="s">
        <v>787</v>
      </c>
      <c r="N54" s="468">
        <v>412207</v>
      </c>
      <c r="O54" s="527"/>
      <c r="P54" s="566"/>
      <c r="Q54" s="473">
        <f t="shared" si="2"/>
        <v>0</v>
      </c>
      <c r="S54" s="464" t="s">
        <v>787</v>
      </c>
      <c r="T54" s="468">
        <v>412207</v>
      </c>
      <c r="U54" s="527"/>
      <c r="V54" s="566"/>
      <c r="W54" s="473">
        <f t="shared" si="3"/>
        <v>0</v>
      </c>
      <c r="Y54" s="464" t="s">
        <v>787</v>
      </c>
      <c r="Z54" s="468">
        <v>412207</v>
      </c>
      <c r="AA54" s="527"/>
      <c r="AB54" s="566"/>
      <c r="AC54" s="473">
        <f t="shared" si="4"/>
        <v>0</v>
      </c>
      <c r="AE54" s="464" t="s">
        <v>787</v>
      </c>
      <c r="AF54" s="468">
        <v>412207</v>
      </c>
      <c r="AG54" s="527"/>
      <c r="AH54" s="566"/>
      <c r="AI54" s="473">
        <f t="shared" si="5"/>
        <v>0</v>
      </c>
      <c r="AK54" s="464" t="s">
        <v>787</v>
      </c>
      <c r="AL54" s="468">
        <v>412207</v>
      </c>
      <c r="AM54" s="527"/>
      <c r="AN54" s="566"/>
      <c r="AO54" s="473">
        <f t="shared" si="6"/>
        <v>0</v>
      </c>
      <c r="AQ54" s="464" t="s">
        <v>787</v>
      </c>
      <c r="AR54" s="468">
        <v>412207</v>
      </c>
      <c r="AS54" s="527"/>
      <c r="AT54" s="566"/>
      <c r="AU54" s="473">
        <f t="shared" si="7"/>
        <v>0</v>
      </c>
      <c r="AW54" s="464" t="s">
        <v>787</v>
      </c>
      <c r="AX54" s="468">
        <v>412207</v>
      </c>
      <c r="AY54" s="527"/>
      <c r="AZ54" s="566"/>
      <c r="BA54" s="473">
        <f t="shared" si="8"/>
        <v>0</v>
      </c>
      <c r="BC54" s="464" t="s">
        <v>787</v>
      </c>
      <c r="BD54" s="468">
        <v>412207</v>
      </c>
      <c r="BE54" s="527"/>
      <c r="BF54" s="566"/>
      <c r="BG54" s="473">
        <f t="shared" si="9"/>
        <v>0</v>
      </c>
      <c r="BI54" s="464" t="s">
        <v>787</v>
      </c>
      <c r="BJ54" s="468">
        <v>412207</v>
      </c>
      <c r="BK54" s="527"/>
      <c r="BL54" s="566"/>
      <c r="BM54" s="473">
        <f t="shared" si="10"/>
        <v>0</v>
      </c>
      <c r="BO54" s="464" t="s">
        <v>787</v>
      </c>
      <c r="BP54" s="468">
        <v>412207</v>
      </c>
      <c r="BQ54" s="527"/>
      <c r="BR54" s="566"/>
      <c r="BS54" s="473">
        <f t="shared" si="11"/>
        <v>0</v>
      </c>
    </row>
    <row r="55" spans="1:71" ht="24" customHeight="1" hidden="1">
      <c r="A55" s="464" t="s">
        <v>788</v>
      </c>
      <c r="B55" s="468">
        <v>412208</v>
      </c>
      <c r="C55" s="527"/>
      <c r="D55" s="487"/>
      <c r="E55" s="473">
        <f t="shared" si="0"/>
        <v>0</v>
      </c>
      <c r="F55" s="466"/>
      <c r="G55" s="464" t="s">
        <v>788</v>
      </c>
      <c r="H55" s="468">
        <v>412208</v>
      </c>
      <c r="I55" s="527"/>
      <c r="J55" s="566"/>
      <c r="K55" s="473">
        <f t="shared" si="1"/>
        <v>0</v>
      </c>
      <c r="M55" s="464" t="s">
        <v>788</v>
      </c>
      <c r="N55" s="468">
        <v>412208</v>
      </c>
      <c r="O55" s="527"/>
      <c r="P55" s="566"/>
      <c r="Q55" s="473">
        <f t="shared" si="2"/>
        <v>0</v>
      </c>
      <c r="S55" s="464" t="s">
        <v>788</v>
      </c>
      <c r="T55" s="468">
        <v>412208</v>
      </c>
      <c r="U55" s="527"/>
      <c r="V55" s="566"/>
      <c r="W55" s="473">
        <f t="shared" si="3"/>
        <v>0</v>
      </c>
      <c r="Y55" s="464" t="s">
        <v>788</v>
      </c>
      <c r="Z55" s="468">
        <v>412208</v>
      </c>
      <c r="AA55" s="527"/>
      <c r="AB55" s="566"/>
      <c r="AC55" s="473">
        <f t="shared" si="4"/>
        <v>0</v>
      </c>
      <c r="AE55" s="464" t="s">
        <v>788</v>
      </c>
      <c r="AF55" s="468">
        <v>412208</v>
      </c>
      <c r="AG55" s="527"/>
      <c r="AH55" s="566"/>
      <c r="AI55" s="473">
        <f t="shared" si="5"/>
        <v>0</v>
      </c>
      <c r="AK55" s="464" t="s">
        <v>788</v>
      </c>
      <c r="AL55" s="468">
        <v>412208</v>
      </c>
      <c r="AM55" s="527"/>
      <c r="AN55" s="566"/>
      <c r="AO55" s="473">
        <f t="shared" si="6"/>
        <v>0</v>
      </c>
      <c r="AQ55" s="464" t="s">
        <v>788</v>
      </c>
      <c r="AR55" s="468">
        <v>412208</v>
      </c>
      <c r="AS55" s="527"/>
      <c r="AT55" s="566"/>
      <c r="AU55" s="473">
        <f t="shared" si="7"/>
        <v>0</v>
      </c>
      <c r="AW55" s="464" t="s">
        <v>788</v>
      </c>
      <c r="AX55" s="468">
        <v>412208</v>
      </c>
      <c r="AY55" s="527"/>
      <c r="AZ55" s="566"/>
      <c r="BA55" s="473">
        <f t="shared" si="8"/>
        <v>0</v>
      </c>
      <c r="BC55" s="464" t="s">
        <v>788</v>
      </c>
      <c r="BD55" s="468">
        <v>412208</v>
      </c>
      <c r="BE55" s="527"/>
      <c r="BF55" s="566"/>
      <c r="BG55" s="473">
        <f t="shared" si="9"/>
        <v>0</v>
      </c>
      <c r="BI55" s="464" t="s">
        <v>788</v>
      </c>
      <c r="BJ55" s="468">
        <v>412208</v>
      </c>
      <c r="BK55" s="527"/>
      <c r="BL55" s="566"/>
      <c r="BM55" s="473">
        <f t="shared" si="10"/>
        <v>0</v>
      </c>
      <c r="BO55" s="464" t="s">
        <v>788</v>
      </c>
      <c r="BP55" s="468">
        <v>412208</v>
      </c>
      <c r="BQ55" s="527"/>
      <c r="BR55" s="566"/>
      <c r="BS55" s="473">
        <f t="shared" si="11"/>
        <v>0</v>
      </c>
    </row>
    <row r="56" spans="1:71" ht="24" customHeight="1" hidden="1">
      <c r="A56" s="464" t="s">
        <v>789</v>
      </c>
      <c r="B56" s="468">
        <v>412209</v>
      </c>
      <c r="C56" s="527"/>
      <c r="D56" s="487"/>
      <c r="E56" s="473">
        <f t="shared" si="0"/>
        <v>0</v>
      </c>
      <c r="F56" s="466"/>
      <c r="G56" s="464" t="s">
        <v>789</v>
      </c>
      <c r="H56" s="468">
        <v>412209</v>
      </c>
      <c r="I56" s="527"/>
      <c r="J56" s="566"/>
      <c r="K56" s="473">
        <f t="shared" si="1"/>
        <v>0</v>
      </c>
      <c r="M56" s="464" t="s">
        <v>789</v>
      </c>
      <c r="N56" s="468">
        <v>412209</v>
      </c>
      <c r="O56" s="527"/>
      <c r="P56" s="566"/>
      <c r="Q56" s="473">
        <f t="shared" si="2"/>
        <v>0</v>
      </c>
      <c r="S56" s="464" t="s">
        <v>789</v>
      </c>
      <c r="T56" s="468">
        <v>412209</v>
      </c>
      <c r="U56" s="527"/>
      <c r="V56" s="566"/>
      <c r="W56" s="473">
        <f t="shared" si="3"/>
        <v>0</v>
      </c>
      <c r="Y56" s="464" t="s">
        <v>789</v>
      </c>
      <c r="Z56" s="468">
        <v>412209</v>
      </c>
      <c r="AA56" s="527"/>
      <c r="AB56" s="566"/>
      <c r="AC56" s="473">
        <f t="shared" si="4"/>
        <v>0</v>
      </c>
      <c r="AE56" s="464" t="s">
        <v>789</v>
      </c>
      <c r="AF56" s="468">
        <v>412209</v>
      </c>
      <c r="AG56" s="527"/>
      <c r="AH56" s="566"/>
      <c r="AI56" s="473">
        <f t="shared" si="5"/>
        <v>0</v>
      </c>
      <c r="AK56" s="464" t="s">
        <v>789</v>
      </c>
      <c r="AL56" s="468">
        <v>412209</v>
      </c>
      <c r="AM56" s="527"/>
      <c r="AN56" s="566"/>
      <c r="AO56" s="473">
        <f t="shared" si="6"/>
        <v>0</v>
      </c>
      <c r="AQ56" s="464" t="s">
        <v>789</v>
      </c>
      <c r="AR56" s="468">
        <v>412209</v>
      </c>
      <c r="AS56" s="527"/>
      <c r="AT56" s="566"/>
      <c r="AU56" s="473">
        <f t="shared" si="7"/>
        <v>0</v>
      </c>
      <c r="AW56" s="464" t="s">
        <v>789</v>
      </c>
      <c r="AX56" s="468">
        <v>412209</v>
      </c>
      <c r="AY56" s="527"/>
      <c r="AZ56" s="566"/>
      <c r="BA56" s="473">
        <f t="shared" si="8"/>
        <v>0</v>
      </c>
      <c r="BC56" s="464" t="s">
        <v>789</v>
      </c>
      <c r="BD56" s="468">
        <v>412209</v>
      </c>
      <c r="BE56" s="527"/>
      <c r="BF56" s="566"/>
      <c r="BG56" s="473">
        <f t="shared" si="9"/>
        <v>0</v>
      </c>
      <c r="BI56" s="464" t="s">
        <v>789</v>
      </c>
      <c r="BJ56" s="468">
        <v>412209</v>
      </c>
      <c r="BK56" s="527"/>
      <c r="BL56" s="566"/>
      <c r="BM56" s="473">
        <f t="shared" si="10"/>
        <v>0</v>
      </c>
      <c r="BO56" s="464" t="s">
        <v>789</v>
      </c>
      <c r="BP56" s="468">
        <v>412209</v>
      </c>
      <c r="BQ56" s="527"/>
      <c r="BR56" s="566"/>
      <c r="BS56" s="473">
        <f t="shared" si="11"/>
        <v>0</v>
      </c>
    </row>
    <row r="57" spans="1:71" ht="24">
      <c r="A57" s="464" t="s">
        <v>790</v>
      </c>
      <c r="B57" s="468">
        <v>412210</v>
      </c>
      <c r="C57" s="527">
        <v>100000</v>
      </c>
      <c r="D57" s="487">
        <v>700</v>
      </c>
      <c r="E57" s="473">
        <f t="shared" si="0"/>
        <v>700</v>
      </c>
      <c r="F57" s="466"/>
      <c r="G57" s="464" t="s">
        <v>790</v>
      </c>
      <c r="H57" s="468">
        <v>412210</v>
      </c>
      <c r="I57" s="527">
        <v>100000</v>
      </c>
      <c r="J57" s="566">
        <v>7500</v>
      </c>
      <c r="K57" s="473">
        <f t="shared" si="1"/>
        <v>8200</v>
      </c>
      <c r="M57" s="464" t="s">
        <v>790</v>
      </c>
      <c r="N57" s="468">
        <v>412210</v>
      </c>
      <c r="O57" s="527">
        <v>100000</v>
      </c>
      <c r="P57" s="566"/>
      <c r="Q57" s="473">
        <f t="shared" si="2"/>
        <v>8200</v>
      </c>
      <c r="S57" s="464" t="s">
        <v>790</v>
      </c>
      <c r="T57" s="468">
        <v>412210</v>
      </c>
      <c r="U57" s="527">
        <v>100000</v>
      </c>
      <c r="V57" s="566"/>
      <c r="W57" s="473">
        <f t="shared" si="3"/>
        <v>8200</v>
      </c>
      <c r="Y57" s="464" t="s">
        <v>790</v>
      </c>
      <c r="Z57" s="468">
        <v>412210</v>
      </c>
      <c r="AA57" s="527">
        <v>100000</v>
      </c>
      <c r="AB57" s="566">
        <v>500</v>
      </c>
      <c r="AC57" s="473">
        <f t="shared" si="4"/>
        <v>8700</v>
      </c>
      <c r="AE57" s="464" t="s">
        <v>790</v>
      </c>
      <c r="AF57" s="468">
        <v>412210</v>
      </c>
      <c r="AG57" s="527">
        <v>100000</v>
      </c>
      <c r="AH57" s="566"/>
      <c r="AI57" s="473">
        <f t="shared" si="5"/>
        <v>8700</v>
      </c>
      <c r="AK57" s="464" t="s">
        <v>790</v>
      </c>
      <c r="AL57" s="468">
        <v>412210</v>
      </c>
      <c r="AM57" s="527">
        <v>100000</v>
      </c>
      <c r="AN57" s="566">
        <v>11048</v>
      </c>
      <c r="AO57" s="473">
        <f t="shared" si="6"/>
        <v>19748</v>
      </c>
      <c r="AQ57" s="464" t="s">
        <v>790</v>
      </c>
      <c r="AR57" s="468">
        <v>412210</v>
      </c>
      <c r="AS57" s="527">
        <v>100000</v>
      </c>
      <c r="AT57" s="566">
        <v>9660</v>
      </c>
      <c r="AU57" s="473">
        <f t="shared" si="7"/>
        <v>29408</v>
      </c>
      <c r="AW57" s="464" t="s">
        <v>790</v>
      </c>
      <c r="AX57" s="468">
        <v>412210</v>
      </c>
      <c r="AY57" s="527">
        <v>100000</v>
      </c>
      <c r="AZ57" s="566"/>
      <c r="BA57" s="473">
        <f t="shared" si="8"/>
        <v>29408</v>
      </c>
      <c r="BC57" s="464" t="s">
        <v>790</v>
      </c>
      <c r="BD57" s="468">
        <v>412210</v>
      </c>
      <c r="BE57" s="527">
        <v>100000</v>
      </c>
      <c r="BF57" s="566">
        <v>700</v>
      </c>
      <c r="BG57" s="473">
        <f t="shared" si="9"/>
        <v>30108</v>
      </c>
      <c r="BI57" s="464" t="s">
        <v>790</v>
      </c>
      <c r="BJ57" s="468">
        <v>412210</v>
      </c>
      <c r="BK57" s="527">
        <v>100000</v>
      </c>
      <c r="BL57" s="566">
        <v>700</v>
      </c>
      <c r="BM57" s="473">
        <f t="shared" si="10"/>
        <v>30808</v>
      </c>
      <c r="BO57" s="464" t="s">
        <v>790</v>
      </c>
      <c r="BP57" s="468">
        <v>412210</v>
      </c>
      <c r="BQ57" s="527">
        <v>100000</v>
      </c>
      <c r="BR57" s="566">
        <f>7120-300</f>
        <v>6820</v>
      </c>
      <c r="BS57" s="473">
        <f t="shared" si="11"/>
        <v>37628</v>
      </c>
    </row>
    <row r="58" spans="1:71" ht="24">
      <c r="A58" s="464" t="s">
        <v>791</v>
      </c>
      <c r="B58" s="468">
        <v>412211</v>
      </c>
      <c r="C58" s="527">
        <v>500</v>
      </c>
      <c r="D58" s="487"/>
      <c r="E58" s="473">
        <f t="shared" si="0"/>
        <v>0</v>
      </c>
      <c r="F58" s="466"/>
      <c r="G58" s="464" t="s">
        <v>791</v>
      </c>
      <c r="H58" s="468">
        <v>412211</v>
      </c>
      <c r="I58" s="527">
        <v>500</v>
      </c>
      <c r="J58" s="566"/>
      <c r="K58" s="473">
        <f t="shared" si="1"/>
        <v>0</v>
      </c>
      <c r="M58" s="464" t="s">
        <v>791</v>
      </c>
      <c r="N58" s="468">
        <v>412211</v>
      </c>
      <c r="O58" s="527">
        <v>500</v>
      </c>
      <c r="P58" s="566"/>
      <c r="Q58" s="473">
        <f t="shared" si="2"/>
        <v>0</v>
      </c>
      <c r="S58" s="464" t="s">
        <v>791</v>
      </c>
      <c r="T58" s="468">
        <v>412211</v>
      </c>
      <c r="U58" s="527">
        <v>500</v>
      </c>
      <c r="V58" s="566"/>
      <c r="W58" s="473">
        <f t="shared" si="3"/>
        <v>0</v>
      </c>
      <c r="Y58" s="464" t="s">
        <v>791</v>
      </c>
      <c r="Z58" s="468">
        <v>412211</v>
      </c>
      <c r="AA58" s="527">
        <v>500</v>
      </c>
      <c r="AB58" s="566"/>
      <c r="AC58" s="473">
        <f t="shared" si="4"/>
        <v>0</v>
      </c>
      <c r="AE58" s="464" t="s">
        <v>791</v>
      </c>
      <c r="AF58" s="468">
        <v>412211</v>
      </c>
      <c r="AG58" s="527">
        <v>500</v>
      </c>
      <c r="AH58" s="566"/>
      <c r="AI58" s="473">
        <f t="shared" si="5"/>
        <v>0</v>
      </c>
      <c r="AK58" s="464" t="s">
        <v>791</v>
      </c>
      <c r="AL58" s="468">
        <v>412211</v>
      </c>
      <c r="AM58" s="527">
        <v>500</v>
      </c>
      <c r="AN58" s="566"/>
      <c r="AO58" s="473">
        <f t="shared" si="6"/>
        <v>0</v>
      </c>
      <c r="AQ58" s="464" t="s">
        <v>791</v>
      </c>
      <c r="AR58" s="468">
        <v>412211</v>
      </c>
      <c r="AS58" s="527">
        <v>500</v>
      </c>
      <c r="AT58" s="566"/>
      <c r="AU58" s="473">
        <f t="shared" si="7"/>
        <v>0</v>
      </c>
      <c r="AW58" s="464" t="s">
        <v>791</v>
      </c>
      <c r="AX58" s="468">
        <v>412211</v>
      </c>
      <c r="AY58" s="527">
        <v>500</v>
      </c>
      <c r="AZ58" s="566"/>
      <c r="BA58" s="473">
        <f t="shared" si="8"/>
        <v>0</v>
      </c>
      <c r="BC58" s="464" t="s">
        <v>791</v>
      </c>
      <c r="BD58" s="468">
        <v>412211</v>
      </c>
      <c r="BE58" s="527">
        <v>500</v>
      </c>
      <c r="BF58" s="566"/>
      <c r="BG58" s="473">
        <f t="shared" si="9"/>
        <v>0</v>
      </c>
      <c r="BI58" s="464" t="s">
        <v>791</v>
      </c>
      <c r="BJ58" s="468">
        <v>412211</v>
      </c>
      <c r="BK58" s="527">
        <v>500</v>
      </c>
      <c r="BL58" s="566"/>
      <c r="BM58" s="473">
        <f t="shared" si="10"/>
        <v>0</v>
      </c>
      <c r="BO58" s="464" t="s">
        <v>791</v>
      </c>
      <c r="BP58" s="468">
        <v>412211</v>
      </c>
      <c r="BQ58" s="527">
        <v>500</v>
      </c>
      <c r="BR58" s="566"/>
      <c r="BS58" s="473">
        <f t="shared" si="11"/>
        <v>0</v>
      </c>
    </row>
    <row r="59" spans="1:71" ht="24" customHeight="1" hidden="1">
      <c r="A59" s="464" t="s">
        <v>792</v>
      </c>
      <c r="B59" s="468">
        <v>412299</v>
      </c>
      <c r="C59" s="527"/>
      <c r="D59" s="487"/>
      <c r="E59" s="473">
        <f t="shared" si="0"/>
        <v>0</v>
      </c>
      <c r="F59" s="466"/>
      <c r="G59" s="464" t="s">
        <v>792</v>
      </c>
      <c r="H59" s="468">
        <v>412299</v>
      </c>
      <c r="I59" s="527"/>
      <c r="J59" s="566"/>
      <c r="K59" s="473">
        <f t="shared" si="1"/>
        <v>0</v>
      </c>
      <c r="M59" s="464" t="s">
        <v>792</v>
      </c>
      <c r="N59" s="468">
        <v>412299</v>
      </c>
      <c r="O59" s="527"/>
      <c r="P59" s="566"/>
      <c r="Q59" s="473">
        <f t="shared" si="2"/>
        <v>0</v>
      </c>
      <c r="S59" s="464" t="s">
        <v>792</v>
      </c>
      <c r="T59" s="468">
        <v>412299</v>
      </c>
      <c r="U59" s="527"/>
      <c r="V59" s="566"/>
      <c r="W59" s="473">
        <f t="shared" si="3"/>
        <v>0</v>
      </c>
      <c r="Y59" s="464" t="s">
        <v>792</v>
      </c>
      <c r="Z59" s="468">
        <v>412299</v>
      </c>
      <c r="AA59" s="527"/>
      <c r="AB59" s="566"/>
      <c r="AC59" s="473">
        <f t="shared" si="4"/>
        <v>0</v>
      </c>
      <c r="AE59" s="464" t="s">
        <v>792</v>
      </c>
      <c r="AF59" s="468">
        <v>412299</v>
      </c>
      <c r="AG59" s="527"/>
      <c r="AH59" s="566"/>
      <c r="AI59" s="473">
        <f t="shared" si="5"/>
        <v>0</v>
      </c>
      <c r="AK59" s="464" t="s">
        <v>792</v>
      </c>
      <c r="AL59" s="468">
        <v>412299</v>
      </c>
      <c r="AM59" s="527"/>
      <c r="AN59" s="566"/>
      <c r="AO59" s="473">
        <f t="shared" si="6"/>
        <v>0</v>
      </c>
      <c r="AQ59" s="464" t="s">
        <v>792</v>
      </c>
      <c r="AR59" s="468">
        <v>412299</v>
      </c>
      <c r="AS59" s="527"/>
      <c r="AT59" s="566"/>
      <c r="AU59" s="473">
        <f t="shared" si="7"/>
        <v>0</v>
      </c>
      <c r="AW59" s="464" t="s">
        <v>792</v>
      </c>
      <c r="AX59" s="468">
        <v>412299</v>
      </c>
      <c r="AY59" s="527"/>
      <c r="AZ59" s="566"/>
      <c r="BA59" s="473">
        <f t="shared" si="8"/>
        <v>0</v>
      </c>
      <c r="BC59" s="464" t="s">
        <v>792</v>
      </c>
      <c r="BD59" s="468">
        <v>412299</v>
      </c>
      <c r="BE59" s="527"/>
      <c r="BF59" s="566"/>
      <c r="BG59" s="473">
        <f t="shared" si="9"/>
        <v>0</v>
      </c>
      <c r="BI59" s="464" t="s">
        <v>792</v>
      </c>
      <c r="BJ59" s="468">
        <v>412299</v>
      </c>
      <c r="BK59" s="527"/>
      <c r="BL59" s="566"/>
      <c r="BM59" s="473">
        <f t="shared" si="10"/>
        <v>0</v>
      </c>
      <c r="BO59" s="464" t="s">
        <v>792</v>
      </c>
      <c r="BP59" s="468">
        <v>412299</v>
      </c>
      <c r="BQ59" s="527"/>
      <c r="BR59" s="566"/>
      <c r="BS59" s="473">
        <f t="shared" si="11"/>
        <v>0</v>
      </c>
    </row>
    <row r="60" spans="1:71" ht="24" customHeight="1" hidden="1">
      <c r="A60" s="464" t="s">
        <v>793</v>
      </c>
      <c r="B60" s="468">
        <v>412301</v>
      </c>
      <c r="C60" s="527"/>
      <c r="D60" s="487"/>
      <c r="E60" s="473">
        <f t="shared" si="0"/>
        <v>0</v>
      </c>
      <c r="F60" s="466"/>
      <c r="G60" s="464" t="s">
        <v>793</v>
      </c>
      <c r="H60" s="468">
        <v>412301</v>
      </c>
      <c r="I60" s="527"/>
      <c r="J60" s="566"/>
      <c r="K60" s="473">
        <f t="shared" si="1"/>
        <v>0</v>
      </c>
      <c r="M60" s="464" t="s">
        <v>793</v>
      </c>
      <c r="N60" s="468">
        <v>412301</v>
      </c>
      <c r="O60" s="527"/>
      <c r="P60" s="566"/>
      <c r="Q60" s="473">
        <f t="shared" si="2"/>
        <v>0</v>
      </c>
      <c r="S60" s="464" t="s">
        <v>793</v>
      </c>
      <c r="T60" s="468">
        <v>412301</v>
      </c>
      <c r="U60" s="527"/>
      <c r="V60" s="566"/>
      <c r="W60" s="473">
        <f t="shared" si="3"/>
        <v>0</v>
      </c>
      <c r="Y60" s="464" t="s">
        <v>793</v>
      </c>
      <c r="Z60" s="468">
        <v>412301</v>
      </c>
      <c r="AA60" s="527"/>
      <c r="AB60" s="566"/>
      <c r="AC60" s="473">
        <f t="shared" si="4"/>
        <v>0</v>
      </c>
      <c r="AE60" s="464" t="s">
        <v>793</v>
      </c>
      <c r="AF60" s="468">
        <v>412301</v>
      </c>
      <c r="AG60" s="527"/>
      <c r="AH60" s="566"/>
      <c r="AI60" s="473">
        <f t="shared" si="5"/>
        <v>0</v>
      </c>
      <c r="AK60" s="464" t="s">
        <v>793</v>
      </c>
      <c r="AL60" s="468">
        <v>412301</v>
      </c>
      <c r="AM60" s="527"/>
      <c r="AN60" s="566"/>
      <c r="AO60" s="473">
        <f t="shared" si="6"/>
        <v>0</v>
      </c>
      <c r="AQ60" s="464" t="s">
        <v>793</v>
      </c>
      <c r="AR60" s="468">
        <v>412301</v>
      </c>
      <c r="AS60" s="527"/>
      <c r="AT60" s="566"/>
      <c r="AU60" s="473">
        <f t="shared" si="7"/>
        <v>0</v>
      </c>
      <c r="AW60" s="464" t="s">
        <v>793</v>
      </c>
      <c r="AX60" s="468">
        <v>412301</v>
      </c>
      <c r="AY60" s="527"/>
      <c r="AZ60" s="566"/>
      <c r="BA60" s="473">
        <f t="shared" si="8"/>
        <v>0</v>
      </c>
      <c r="BC60" s="464" t="s">
        <v>793</v>
      </c>
      <c r="BD60" s="468">
        <v>412301</v>
      </c>
      <c r="BE60" s="527"/>
      <c r="BF60" s="566"/>
      <c r="BG60" s="473">
        <f t="shared" si="9"/>
        <v>0</v>
      </c>
      <c r="BI60" s="464" t="s">
        <v>793</v>
      </c>
      <c r="BJ60" s="468">
        <v>412301</v>
      </c>
      <c r="BK60" s="527"/>
      <c r="BL60" s="566"/>
      <c r="BM60" s="473">
        <f t="shared" si="10"/>
        <v>0</v>
      </c>
      <c r="BO60" s="464" t="s">
        <v>793</v>
      </c>
      <c r="BP60" s="468">
        <v>412301</v>
      </c>
      <c r="BQ60" s="527"/>
      <c r="BR60" s="566"/>
      <c r="BS60" s="473">
        <f t="shared" si="11"/>
        <v>0</v>
      </c>
    </row>
    <row r="61" spans="1:71" ht="24" customHeight="1" hidden="1">
      <c r="A61" s="464" t="s">
        <v>794</v>
      </c>
      <c r="B61" s="468">
        <v>412302</v>
      </c>
      <c r="C61" s="527"/>
      <c r="D61" s="487"/>
      <c r="E61" s="473">
        <f t="shared" si="0"/>
        <v>0</v>
      </c>
      <c r="F61" s="466"/>
      <c r="G61" s="464" t="s">
        <v>794</v>
      </c>
      <c r="H61" s="468">
        <v>412302</v>
      </c>
      <c r="I61" s="527"/>
      <c r="J61" s="566"/>
      <c r="K61" s="473">
        <f t="shared" si="1"/>
        <v>0</v>
      </c>
      <c r="M61" s="464" t="s">
        <v>794</v>
      </c>
      <c r="N61" s="468">
        <v>412302</v>
      </c>
      <c r="O61" s="527"/>
      <c r="P61" s="566"/>
      <c r="Q61" s="473">
        <f t="shared" si="2"/>
        <v>0</v>
      </c>
      <c r="S61" s="464" t="s">
        <v>794</v>
      </c>
      <c r="T61" s="468">
        <v>412302</v>
      </c>
      <c r="U61" s="527"/>
      <c r="V61" s="566"/>
      <c r="W61" s="473">
        <f t="shared" si="3"/>
        <v>0</v>
      </c>
      <c r="Y61" s="464" t="s">
        <v>794</v>
      </c>
      <c r="Z61" s="468">
        <v>412302</v>
      </c>
      <c r="AA61" s="527"/>
      <c r="AB61" s="566"/>
      <c r="AC61" s="473">
        <f t="shared" si="4"/>
        <v>0</v>
      </c>
      <c r="AE61" s="464" t="s">
        <v>794</v>
      </c>
      <c r="AF61" s="468">
        <v>412302</v>
      </c>
      <c r="AG61" s="527"/>
      <c r="AH61" s="566"/>
      <c r="AI61" s="473">
        <f t="shared" si="5"/>
        <v>0</v>
      </c>
      <c r="AK61" s="464" t="s">
        <v>794</v>
      </c>
      <c r="AL61" s="468">
        <v>412302</v>
      </c>
      <c r="AM61" s="527"/>
      <c r="AN61" s="566"/>
      <c r="AO61" s="473">
        <f t="shared" si="6"/>
        <v>0</v>
      </c>
      <c r="AQ61" s="464" t="s">
        <v>794</v>
      </c>
      <c r="AR61" s="468">
        <v>412302</v>
      </c>
      <c r="AS61" s="527"/>
      <c r="AT61" s="566"/>
      <c r="AU61" s="473">
        <f t="shared" si="7"/>
        <v>0</v>
      </c>
      <c r="AW61" s="464" t="s">
        <v>794</v>
      </c>
      <c r="AX61" s="468">
        <v>412302</v>
      </c>
      <c r="AY61" s="527"/>
      <c r="AZ61" s="566"/>
      <c r="BA61" s="473">
        <f t="shared" si="8"/>
        <v>0</v>
      </c>
      <c r="BC61" s="464" t="s">
        <v>794</v>
      </c>
      <c r="BD61" s="468">
        <v>412302</v>
      </c>
      <c r="BE61" s="527"/>
      <c r="BF61" s="566"/>
      <c r="BG61" s="473">
        <f t="shared" si="9"/>
        <v>0</v>
      </c>
      <c r="BI61" s="464" t="s">
        <v>794</v>
      </c>
      <c r="BJ61" s="468">
        <v>412302</v>
      </c>
      <c r="BK61" s="527"/>
      <c r="BL61" s="566"/>
      <c r="BM61" s="473">
        <f t="shared" si="10"/>
        <v>0</v>
      </c>
      <c r="BO61" s="464" t="s">
        <v>794</v>
      </c>
      <c r="BP61" s="468">
        <v>412302</v>
      </c>
      <c r="BQ61" s="527"/>
      <c r="BR61" s="566"/>
      <c r="BS61" s="473">
        <f t="shared" si="11"/>
        <v>0</v>
      </c>
    </row>
    <row r="62" spans="1:71" ht="24">
      <c r="A62" s="480" t="s">
        <v>795</v>
      </c>
      <c r="B62" s="481">
        <v>412303</v>
      </c>
      <c r="C62" s="529">
        <v>4000</v>
      </c>
      <c r="D62" s="545"/>
      <c r="E62" s="551">
        <f t="shared" si="0"/>
        <v>0</v>
      </c>
      <c r="F62" s="561"/>
      <c r="G62" s="559" t="s">
        <v>795</v>
      </c>
      <c r="H62" s="557">
        <v>412303</v>
      </c>
      <c r="I62" s="558">
        <v>4000</v>
      </c>
      <c r="J62" s="568">
        <v>400</v>
      </c>
      <c r="K62" s="556">
        <f t="shared" si="1"/>
        <v>400</v>
      </c>
      <c r="L62" s="561"/>
      <c r="M62" s="559" t="s">
        <v>795</v>
      </c>
      <c r="N62" s="557">
        <v>412303</v>
      </c>
      <c r="O62" s="558">
        <v>4000</v>
      </c>
      <c r="P62" s="568"/>
      <c r="Q62" s="473">
        <f t="shared" si="2"/>
        <v>400</v>
      </c>
      <c r="S62" s="559" t="s">
        <v>795</v>
      </c>
      <c r="T62" s="557">
        <v>412303</v>
      </c>
      <c r="U62" s="558">
        <v>4000</v>
      </c>
      <c r="V62" s="568"/>
      <c r="W62" s="473">
        <f t="shared" si="3"/>
        <v>400</v>
      </c>
      <c r="X62" s="561"/>
      <c r="Y62" s="559" t="s">
        <v>795</v>
      </c>
      <c r="Z62" s="557">
        <v>412303</v>
      </c>
      <c r="AA62" s="558">
        <v>4000</v>
      </c>
      <c r="AB62" s="568"/>
      <c r="AC62" s="473">
        <f t="shared" si="4"/>
        <v>400</v>
      </c>
      <c r="AE62" s="559" t="s">
        <v>795</v>
      </c>
      <c r="AF62" s="557">
        <v>412303</v>
      </c>
      <c r="AG62" s="558">
        <v>4000</v>
      </c>
      <c r="AH62" s="568"/>
      <c r="AI62" s="473">
        <f t="shared" si="5"/>
        <v>400</v>
      </c>
      <c r="AK62" s="559" t="s">
        <v>795</v>
      </c>
      <c r="AL62" s="557">
        <v>412303</v>
      </c>
      <c r="AM62" s="558">
        <v>4000</v>
      </c>
      <c r="AN62" s="568"/>
      <c r="AO62" s="473">
        <f t="shared" si="6"/>
        <v>400</v>
      </c>
      <c r="AQ62" s="559" t="s">
        <v>795</v>
      </c>
      <c r="AR62" s="557">
        <v>412303</v>
      </c>
      <c r="AS62" s="558">
        <v>4000</v>
      </c>
      <c r="AT62" s="568"/>
      <c r="AU62" s="473">
        <f t="shared" si="7"/>
        <v>400</v>
      </c>
      <c r="AW62" s="491" t="s">
        <v>795</v>
      </c>
      <c r="AX62" s="557">
        <v>412303</v>
      </c>
      <c r="AY62" s="558">
        <v>4000</v>
      </c>
      <c r="AZ62" s="568"/>
      <c r="BA62" s="473">
        <f t="shared" si="8"/>
        <v>400</v>
      </c>
      <c r="BC62" s="491" t="s">
        <v>795</v>
      </c>
      <c r="BD62" s="557">
        <v>412303</v>
      </c>
      <c r="BE62" s="558">
        <v>4000</v>
      </c>
      <c r="BF62" s="568">
        <v>100</v>
      </c>
      <c r="BG62" s="473">
        <f t="shared" si="9"/>
        <v>500</v>
      </c>
      <c r="BI62" s="491" t="s">
        <v>795</v>
      </c>
      <c r="BJ62" s="557">
        <v>412303</v>
      </c>
      <c r="BK62" s="558">
        <v>4000</v>
      </c>
      <c r="BL62" s="568"/>
      <c r="BM62" s="473">
        <f t="shared" si="10"/>
        <v>500</v>
      </c>
      <c r="BO62" s="491" t="s">
        <v>795</v>
      </c>
      <c r="BP62" s="557">
        <v>412303</v>
      </c>
      <c r="BQ62" s="558">
        <v>4000</v>
      </c>
      <c r="BR62" s="568">
        <v>100</v>
      </c>
      <c r="BS62" s="473">
        <f t="shared" si="11"/>
        <v>600</v>
      </c>
    </row>
    <row r="63" spans="1:71" ht="24" customHeight="1" hidden="1">
      <c r="A63" s="464" t="s">
        <v>796</v>
      </c>
      <c r="B63" s="468">
        <v>412304</v>
      </c>
      <c r="C63" s="527"/>
      <c r="D63" s="487"/>
      <c r="E63" s="473">
        <f t="shared" si="0"/>
        <v>0</v>
      </c>
      <c r="F63" s="466"/>
      <c r="G63" s="464" t="s">
        <v>796</v>
      </c>
      <c r="H63" s="468">
        <v>412304</v>
      </c>
      <c r="I63" s="527"/>
      <c r="J63" s="566"/>
      <c r="K63" s="473">
        <f t="shared" si="1"/>
        <v>0</v>
      </c>
      <c r="M63" s="464" t="s">
        <v>796</v>
      </c>
      <c r="N63" s="468">
        <v>412304</v>
      </c>
      <c r="O63" s="527"/>
      <c r="P63" s="566"/>
      <c r="Q63" s="473">
        <f t="shared" si="2"/>
        <v>0</v>
      </c>
      <c r="S63" s="464" t="s">
        <v>796</v>
      </c>
      <c r="T63" s="468">
        <v>412304</v>
      </c>
      <c r="U63" s="527"/>
      <c r="V63" s="566"/>
      <c r="W63" s="473">
        <f t="shared" si="3"/>
        <v>0</v>
      </c>
      <c r="Y63" s="464" t="s">
        <v>796</v>
      </c>
      <c r="Z63" s="468">
        <v>412304</v>
      </c>
      <c r="AA63" s="527"/>
      <c r="AB63" s="566"/>
      <c r="AC63" s="473">
        <f t="shared" si="4"/>
        <v>0</v>
      </c>
      <c r="AE63" s="464" t="s">
        <v>796</v>
      </c>
      <c r="AF63" s="468">
        <v>412304</v>
      </c>
      <c r="AG63" s="527"/>
      <c r="AH63" s="566"/>
      <c r="AI63" s="473">
        <f t="shared" si="5"/>
        <v>0</v>
      </c>
      <c r="AK63" s="464" t="s">
        <v>796</v>
      </c>
      <c r="AL63" s="468">
        <v>412304</v>
      </c>
      <c r="AM63" s="527"/>
      <c r="AN63" s="566"/>
      <c r="AO63" s="473">
        <f t="shared" si="6"/>
        <v>0</v>
      </c>
      <c r="AQ63" s="464" t="s">
        <v>796</v>
      </c>
      <c r="AR63" s="468">
        <v>412304</v>
      </c>
      <c r="AS63" s="527"/>
      <c r="AT63" s="566"/>
      <c r="AU63" s="473">
        <f t="shared" si="7"/>
        <v>0</v>
      </c>
      <c r="AW63" s="464" t="s">
        <v>796</v>
      </c>
      <c r="AX63" s="468">
        <v>412304</v>
      </c>
      <c r="AY63" s="527"/>
      <c r="AZ63" s="566"/>
      <c r="BA63" s="473">
        <f t="shared" si="8"/>
        <v>0</v>
      </c>
      <c r="BC63" s="464" t="s">
        <v>796</v>
      </c>
      <c r="BD63" s="468">
        <v>412304</v>
      </c>
      <c r="BE63" s="527"/>
      <c r="BF63" s="566"/>
      <c r="BG63" s="473">
        <f t="shared" si="9"/>
        <v>0</v>
      </c>
      <c r="BI63" s="464" t="s">
        <v>796</v>
      </c>
      <c r="BJ63" s="468">
        <v>412304</v>
      </c>
      <c r="BK63" s="527"/>
      <c r="BL63" s="566"/>
      <c r="BM63" s="473">
        <f>+AT63+AZ63+BF63+BL63+AN63+AH63+AB63+V63+P63+J63</f>
        <v>0</v>
      </c>
      <c r="BO63" s="464" t="s">
        <v>796</v>
      </c>
      <c r="BP63" s="468">
        <v>412304</v>
      </c>
      <c r="BQ63" s="527"/>
      <c r="BR63" s="566"/>
      <c r="BS63" s="473">
        <f>+AZ63+BF63+BL63+BR63+AT63+AN63+AH63+AB63+V63+P63</f>
        <v>0</v>
      </c>
    </row>
    <row r="64" spans="1:71" ht="24" customHeight="1" hidden="1">
      <c r="A64" s="464" t="s">
        <v>797</v>
      </c>
      <c r="B64" s="468"/>
      <c r="C64" s="527"/>
      <c r="D64" s="487"/>
      <c r="E64" s="473">
        <f t="shared" si="0"/>
        <v>0</v>
      </c>
      <c r="F64" s="466"/>
      <c r="G64" s="464" t="s">
        <v>797</v>
      </c>
      <c r="H64" s="468"/>
      <c r="I64" s="527"/>
      <c r="J64" s="566"/>
      <c r="K64" s="473">
        <f t="shared" si="1"/>
        <v>0</v>
      </c>
      <c r="M64" s="464" t="s">
        <v>797</v>
      </c>
      <c r="N64" s="468"/>
      <c r="O64" s="527"/>
      <c r="P64" s="566"/>
      <c r="Q64" s="473">
        <f t="shared" si="2"/>
        <v>0</v>
      </c>
      <c r="S64" s="464" t="s">
        <v>797</v>
      </c>
      <c r="T64" s="468"/>
      <c r="U64" s="527"/>
      <c r="V64" s="566"/>
      <c r="W64" s="473">
        <f t="shared" si="3"/>
        <v>0</v>
      </c>
      <c r="Y64" s="464" t="s">
        <v>797</v>
      </c>
      <c r="Z64" s="468"/>
      <c r="AA64" s="527"/>
      <c r="AB64" s="566"/>
      <c r="AC64" s="473">
        <f t="shared" si="4"/>
        <v>0</v>
      </c>
      <c r="AE64" s="464" t="s">
        <v>797</v>
      </c>
      <c r="AF64" s="468"/>
      <c r="AG64" s="527"/>
      <c r="AH64" s="566"/>
      <c r="AI64" s="473">
        <f t="shared" si="5"/>
        <v>0</v>
      </c>
      <c r="AK64" s="464" t="s">
        <v>797</v>
      </c>
      <c r="AL64" s="468"/>
      <c r="AM64" s="527"/>
      <c r="AN64" s="566"/>
      <c r="AO64" s="473">
        <f t="shared" si="6"/>
        <v>0</v>
      </c>
      <c r="AQ64" s="464" t="s">
        <v>797</v>
      </c>
      <c r="AR64" s="468"/>
      <c r="AS64" s="527"/>
      <c r="AT64" s="566"/>
      <c r="AU64" s="473">
        <f t="shared" si="7"/>
        <v>0</v>
      </c>
      <c r="AW64" s="464" t="s">
        <v>797</v>
      </c>
      <c r="AX64" s="468"/>
      <c r="AY64" s="527"/>
      <c r="AZ64" s="566"/>
      <c r="BA64" s="473">
        <f t="shared" si="8"/>
        <v>0</v>
      </c>
      <c r="BC64" s="464" t="s">
        <v>797</v>
      </c>
      <c r="BD64" s="468"/>
      <c r="BE64" s="527"/>
      <c r="BF64" s="566"/>
      <c r="BG64" s="473">
        <f t="shared" si="9"/>
        <v>0</v>
      </c>
      <c r="BI64" s="464" t="s">
        <v>797</v>
      </c>
      <c r="BJ64" s="468"/>
      <c r="BK64" s="527"/>
      <c r="BL64" s="566"/>
      <c r="BM64" s="473">
        <f>+AT64+AZ64+BF64+BL64+AN64+AH64+AB64+V64+P64+J64</f>
        <v>0</v>
      </c>
      <c r="BO64" s="464" t="s">
        <v>797</v>
      </c>
      <c r="BP64" s="468"/>
      <c r="BQ64" s="527"/>
      <c r="BR64" s="566"/>
      <c r="BS64" s="473">
        <f>+AZ64+BF64+BL64+BR64+AT64+AN64+AH64+AB64+V64+P64</f>
        <v>0</v>
      </c>
    </row>
    <row r="65" spans="1:71" ht="24" customHeight="1" hidden="1">
      <c r="A65" s="464" t="s">
        <v>798</v>
      </c>
      <c r="B65" s="468">
        <v>412305</v>
      </c>
      <c r="C65" s="527">
        <v>2000</v>
      </c>
      <c r="D65" s="487"/>
      <c r="E65" s="473">
        <f t="shared" si="0"/>
        <v>0</v>
      </c>
      <c r="F65" s="466"/>
      <c r="G65" s="464" t="s">
        <v>798</v>
      </c>
      <c r="H65" s="468">
        <v>412305</v>
      </c>
      <c r="I65" s="527">
        <v>2000</v>
      </c>
      <c r="J65" s="566"/>
      <c r="K65" s="473">
        <f t="shared" si="1"/>
        <v>0</v>
      </c>
      <c r="M65" s="464" t="s">
        <v>798</v>
      </c>
      <c r="N65" s="468">
        <v>412305</v>
      </c>
      <c r="O65" s="527">
        <v>2000</v>
      </c>
      <c r="P65" s="566"/>
      <c r="Q65" s="473">
        <f t="shared" si="2"/>
        <v>0</v>
      </c>
      <c r="S65" s="464" t="s">
        <v>798</v>
      </c>
      <c r="T65" s="468">
        <v>412305</v>
      </c>
      <c r="U65" s="527">
        <v>2000</v>
      </c>
      <c r="V65" s="566"/>
      <c r="W65" s="473">
        <f t="shared" si="3"/>
        <v>0</v>
      </c>
      <c r="Y65" s="464" t="s">
        <v>798</v>
      </c>
      <c r="Z65" s="468">
        <v>412305</v>
      </c>
      <c r="AA65" s="527">
        <v>2000</v>
      </c>
      <c r="AB65" s="566"/>
      <c r="AC65" s="473">
        <f t="shared" si="4"/>
        <v>0</v>
      </c>
      <c r="AE65" s="464" t="s">
        <v>798</v>
      </c>
      <c r="AF65" s="468">
        <v>412305</v>
      </c>
      <c r="AG65" s="527">
        <v>2000</v>
      </c>
      <c r="AH65" s="566"/>
      <c r="AI65" s="473">
        <f t="shared" si="5"/>
        <v>0</v>
      </c>
      <c r="AK65" s="464" t="s">
        <v>798</v>
      </c>
      <c r="AL65" s="468">
        <v>412305</v>
      </c>
      <c r="AM65" s="527">
        <v>2000</v>
      </c>
      <c r="AN65" s="566"/>
      <c r="AO65" s="473">
        <f t="shared" si="6"/>
        <v>0</v>
      </c>
      <c r="AQ65" s="464" t="s">
        <v>798</v>
      </c>
      <c r="AR65" s="468">
        <v>412305</v>
      </c>
      <c r="AS65" s="527">
        <v>2000</v>
      </c>
      <c r="AT65" s="566"/>
      <c r="AU65" s="473">
        <f t="shared" si="7"/>
        <v>0</v>
      </c>
      <c r="AW65" s="464" t="s">
        <v>798</v>
      </c>
      <c r="AX65" s="468">
        <v>412305</v>
      </c>
      <c r="AY65" s="527">
        <v>2000</v>
      </c>
      <c r="AZ65" s="566"/>
      <c r="BA65" s="473">
        <f t="shared" si="8"/>
        <v>0</v>
      </c>
      <c r="BC65" s="464" t="s">
        <v>798</v>
      </c>
      <c r="BD65" s="468">
        <v>412305</v>
      </c>
      <c r="BE65" s="527">
        <v>2000</v>
      </c>
      <c r="BF65" s="566"/>
      <c r="BG65" s="473">
        <f t="shared" si="9"/>
        <v>0</v>
      </c>
      <c r="BI65" s="464" t="s">
        <v>798</v>
      </c>
      <c r="BJ65" s="468">
        <v>412305</v>
      </c>
      <c r="BK65" s="527">
        <v>2000</v>
      </c>
      <c r="BL65" s="566"/>
      <c r="BM65" s="473">
        <f>+AT65+AZ65+BF65+BL65+AN65+AH65+AB65+V65+P65+J65</f>
        <v>0</v>
      </c>
      <c r="BO65" s="464" t="s">
        <v>798</v>
      </c>
      <c r="BP65" s="468">
        <v>412305</v>
      </c>
      <c r="BQ65" s="527">
        <v>2000</v>
      </c>
      <c r="BR65" s="566"/>
      <c r="BS65" s="473">
        <f>+AZ65+BF65+BL65+BR65+AT65+AN65+AH65+AB65+V65+P65</f>
        <v>0</v>
      </c>
    </row>
    <row r="66" spans="1:71" ht="24" customHeight="1" hidden="1">
      <c r="A66" s="464" t="s">
        <v>799</v>
      </c>
      <c r="B66" s="468">
        <v>412306</v>
      </c>
      <c r="C66" s="527"/>
      <c r="D66" s="487"/>
      <c r="E66" s="473"/>
      <c r="F66" s="466"/>
      <c r="G66" s="464" t="s">
        <v>799</v>
      </c>
      <c r="H66" s="468">
        <v>412306</v>
      </c>
      <c r="I66" s="527"/>
      <c r="J66" s="566"/>
      <c r="K66" s="473"/>
      <c r="M66" s="464" t="s">
        <v>799</v>
      </c>
      <c r="N66" s="468">
        <v>412306</v>
      </c>
      <c r="O66" s="527"/>
      <c r="P66" s="566"/>
      <c r="Q66" s="473"/>
      <c r="S66" s="464" t="s">
        <v>799</v>
      </c>
      <c r="T66" s="468">
        <v>412306</v>
      </c>
      <c r="U66" s="527"/>
      <c r="V66" s="566"/>
      <c r="W66" s="473"/>
      <c r="Y66" s="464" t="s">
        <v>799</v>
      </c>
      <c r="Z66" s="468">
        <v>412306</v>
      </c>
      <c r="AA66" s="527"/>
      <c r="AB66" s="566"/>
      <c r="AC66" s="473"/>
      <c r="AE66" s="464" t="s">
        <v>799</v>
      </c>
      <c r="AF66" s="468">
        <v>412306</v>
      </c>
      <c r="AG66" s="527"/>
      <c r="AH66" s="566"/>
      <c r="AI66" s="473"/>
      <c r="AK66" s="464" t="s">
        <v>799</v>
      </c>
      <c r="AL66" s="468">
        <v>412306</v>
      </c>
      <c r="AM66" s="527"/>
      <c r="AN66" s="566"/>
      <c r="AO66" s="473"/>
      <c r="AQ66" s="464" t="s">
        <v>799</v>
      </c>
      <c r="AR66" s="468">
        <v>412306</v>
      </c>
      <c r="AS66" s="527"/>
      <c r="AT66" s="566"/>
      <c r="AU66" s="473"/>
      <c r="AW66" s="464" t="s">
        <v>799</v>
      </c>
      <c r="AX66" s="468">
        <v>412306</v>
      </c>
      <c r="AY66" s="527"/>
      <c r="AZ66" s="566"/>
      <c r="BA66" s="473"/>
      <c r="BC66" s="464" t="s">
        <v>799</v>
      </c>
      <c r="BD66" s="468">
        <v>412306</v>
      </c>
      <c r="BE66" s="527"/>
      <c r="BF66" s="566"/>
      <c r="BG66" s="473"/>
      <c r="BI66" s="464" t="s">
        <v>799</v>
      </c>
      <c r="BJ66" s="468">
        <v>412306</v>
      </c>
      <c r="BK66" s="527"/>
      <c r="BL66" s="566"/>
      <c r="BM66" s="473"/>
      <c r="BO66" s="464" t="s">
        <v>799</v>
      </c>
      <c r="BP66" s="468">
        <v>412306</v>
      </c>
      <c r="BQ66" s="527"/>
      <c r="BR66" s="566"/>
      <c r="BS66" s="473"/>
    </row>
    <row r="67" spans="1:71" ht="24" customHeight="1" hidden="1">
      <c r="A67" s="464" t="s">
        <v>800</v>
      </c>
      <c r="B67" s="468">
        <v>412307</v>
      </c>
      <c r="C67" s="527"/>
      <c r="D67" s="487"/>
      <c r="E67" s="473"/>
      <c r="F67" s="466"/>
      <c r="G67" s="464" t="s">
        <v>800</v>
      </c>
      <c r="H67" s="468">
        <v>412307</v>
      </c>
      <c r="I67" s="527"/>
      <c r="J67" s="566"/>
      <c r="K67" s="473"/>
      <c r="M67" s="464" t="s">
        <v>800</v>
      </c>
      <c r="N67" s="468">
        <v>412307</v>
      </c>
      <c r="O67" s="527"/>
      <c r="P67" s="566"/>
      <c r="Q67" s="473"/>
      <c r="S67" s="464" t="s">
        <v>800</v>
      </c>
      <c r="T67" s="468">
        <v>412307</v>
      </c>
      <c r="U67" s="527"/>
      <c r="V67" s="566"/>
      <c r="W67" s="473"/>
      <c r="Y67" s="464" t="s">
        <v>800</v>
      </c>
      <c r="Z67" s="468">
        <v>412307</v>
      </c>
      <c r="AA67" s="527"/>
      <c r="AB67" s="566"/>
      <c r="AC67" s="473"/>
      <c r="AE67" s="464" t="s">
        <v>800</v>
      </c>
      <c r="AF67" s="468">
        <v>412307</v>
      </c>
      <c r="AG67" s="527"/>
      <c r="AH67" s="566"/>
      <c r="AI67" s="473"/>
      <c r="AK67" s="464" t="s">
        <v>800</v>
      </c>
      <c r="AL67" s="468">
        <v>412307</v>
      </c>
      <c r="AM67" s="527"/>
      <c r="AN67" s="566"/>
      <c r="AO67" s="473"/>
      <c r="AQ67" s="464" t="s">
        <v>800</v>
      </c>
      <c r="AR67" s="468">
        <v>412307</v>
      </c>
      <c r="AS67" s="527"/>
      <c r="AT67" s="566"/>
      <c r="AU67" s="473"/>
      <c r="AW67" s="464" t="s">
        <v>800</v>
      </c>
      <c r="AX67" s="468">
        <v>412307</v>
      </c>
      <c r="AY67" s="527"/>
      <c r="AZ67" s="566"/>
      <c r="BA67" s="473"/>
      <c r="BC67" s="464" t="s">
        <v>800</v>
      </c>
      <c r="BD67" s="468">
        <v>412307</v>
      </c>
      <c r="BE67" s="527"/>
      <c r="BF67" s="566"/>
      <c r="BG67" s="473"/>
      <c r="BI67" s="464" t="s">
        <v>800</v>
      </c>
      <c r="BJ67" s="468">
        <v>412307</v>
      </c>
      <c r="BK67" s="527"/>
      <c r="BL67" s="566"/>
      <c r="BM67" s="473"/>
      <c r="BO67" s="464" t="s">
        <v>800</v>
      </c>
      <c r="BP67" s="468">
        <v>412307</v>
      </c>
      <c r="BQ67" s="527"/>
      <c r="BR67" s="566"/>
      <c r="BS67" s="473"/>
    </row>
    <row r="68" spans="1:71" ht="24" customHeight="1" hidden="1">
      <c r="A68" s="464" t="s">
        <v>801</v>
      </c>
      <c r="B68" s="468">
        <v>412308</v>
      </c>
      <c r="C68" s="527"/>
      <c r="D68" s="487"/>
      <c r="E68" s="473"/>
      <c r="F68" s="466"/>
      <c r="G68" s="464" t="s">
        <v>801</v>
      </c>
      <c r="H68" s="468">
        <v>412308</v>
      </c>
      <c r="I68" s="527"/>
      <c r="J68" s="566"/>
      <c r="K68" s="473"/>
      <c r="M68" s="464" t="s">
        <v>801</v>
      </c>
      <c r="N68" s="468">
        <v>412308</v>
      </c>
      <c r="O68" s="527"/>
      <c r="P68" s="566"/>
      <c r="Q68" s="473"/>
      <c r="S68" s="464" t="s">
        <v>801</v>
      </c>
      <c r="T68" s="468">
        <v>412308</v>
      </c>
      <c r="U68" s="527"/>
      <c r="V68" s="566"/>
      <c r="W68" s="473"/>
      <c r="Y68" s="464" t="s">
        <v>801</v>
      </c>
      <c r="Z68" s="468">
        <v>412308</v>
      </c>
      <c r="AA68" s="527"/>
      <c r="AB68" s="566"/>
      <c r="AC68" s="473"/>
      <c r="AE68" s="464" t="s">
        <v>801</v>
      </c>
      <c r="AF68" s="468">
        <v>412308</v>
      </c>
      <c r="AG68" s="527"/>
      <c r="AH68" s="566"/>
      <c r="AI68" s="473"/>
      <c r="AK68" s="464" t="s">
        <v>801</v>
      </c>
      <c r="AL68" s="468">
        <v>412308</v>
      </c>
      <c r="AM68" s="527"/>
      <c r="AN68" s="566"/>
      <c r="AO68" s="473"/>
      <c r="AQ68" s="464" t="s">
        <v>801</v>
      </c>
      <c r="AR68" s="468">
        <v>412308</v>
      </c>
      <c r="AS68" s="527"/>
      <c r="AT68" s="566"/>
      <c r="AU68" s="473"/>
      <c r="AW68" s="464" t="s">
        <v>801</v>
      </c>
      <c r="AX68" s="468">
        <v>412308</v>
      </c>
      <c r="AY68" s="527"/>
      <c r="AZ68" s="566"/>
      <c r="BA68" s="473"/>
      <c r="BC68" s="464" t="s">
        <v>801</v>
      </c>
      <c r="BD68" s="468">
        <v>412308</v>
      </c>
      <c r="BE68" s="527"/>
      <c r="BF68" s="566"/>
      <c r="BG68" s="473"/>
      <c r="BI68" s="464" t="s">
        <v>801</v>
      </c>
      <c r="BJ68" s="468">
        <v>412308</v>
      </c>
      <c r="BK68" s="527"/>
      <c r="BL68" s="566"/>
      <c r="BM68" s="473"/>
      <c r="BO68" s="464" t="s">
        <v>801</v>
      </c>
      <c r="BP68" s="468">
        <v>412308</v>
      </c>
      <c r="BQ68" s="527"/>
      <c r="BR68" s="566"/>
      <c r="BS68" s="473"/>
    </row>
    <row r="69" spans="1:71" ht="24" customHeight="1" hidden="1">
      <c r="A69" s="464" t="s">
        <v>802</v>
      </c>
      <c r="B69" s="468">
        <v>412399</v>
      </c>
      <c r="C69" s="530"/>
      <c r="D69" s="487"/>
      <c r="E69" s="473"/>
      <c r="F69" s="466"/>
      <c r="G69" s="464" t="s">
        <v>802</v>
      </c>
      <c r="H69" s="468">
        <v>412399</v>
      </c>
      <c r="I69" s="530"/>
      <c r="J69" s="566"/>
      <c r="K69" s="473"/>
      <c r="M69" s="464" t="s">
        <v>802</v>
      </c>
      <c r="N69" s="468">
        <v>412399</v>
      </c>
      <c r="O69" s="530"/>
      <c r="P69" s="566"/>
      <c r="Q69" s="473"/>
      <c r="S69" s="464" t="s">
        <v>802</v>
      </c>
      <c r="T69" s="468">
        <v>412399</v>
      </c>
      <c r="U69" s="530"/>
      <c r="V69" s="566"/>
      <c r="W69" s="473"/>
      <c r="Y69" s="464" t="s">
        <v>802</v>
      </c>
      <c r="Z69" s="468">
        <v>412399</v>
      </c>
      <c r="AA69" s="530"/>
      <c r="AB69" s="566"/>
      <c r="AC69" s="473"/>
      <c r="AE69" s="464" t="s">
        <v>802</v>
      </c>
      <c r="AF69" s="468">
        <v>412399</v>
      </c>
      <c r="AG69" s="530"/>
      <c r="AH69" s="566"/>
      <c r="AI69" s="473"/>
      <c r="AK69" s="464" t="s">
        <v>802</v>
      </c>
      <c r="AL69" s="468">
        <v>412399</v>
      </c>
      <c r="AM69" s="530"/>
      <c r="AN69" s="566"/>
      <c r="AO69" s="473"/>
      <c r="AQ69" s="464" t="s">
        <v>802</v>
      </c>
      <c r="AR69" s="468">
        <v>412399</v>
      </c>
      <c r="AS69" s="530"/>
      <c r="AT69" s="566"/>
      <c r="AU69" s="473"/>
      <c r="AW69" s="464" t="s">
        <v>802</v>
      </c>
      <c r="AX69" s="468">
        <v>412399</v>
      </c>
      <c r="AY69" s="530"/>
      <c r="AZ69" s="566"/>
      <c r="BA69" s="473"/>
      <c r="BC69" s="464" t="s">
        <v>802</v>
      </c>
      <c r="BD69" s="468">
        <v>412399</v>
      </c>
      <c r="BE69" s="530"/>
      <c r="BF69" s="566"/>
      <c r="BG69" s="473"/>
      <c r="BI69" s="464" t="s">
        <v>802</v>
      </c>
      <c r="BJ69" s="468">
        <v>412399</v>
      </c>
      <c r="BK69" s="530"/>
      <c r="BL69" s="566"/>
      <c r="BM69" s="473"/>
      <c r="BO69" s="464" t="s">
        <v>802</v>
      </c>
      <c r="BP69" s="468">
        <v>412399</v>
      </c>
      <c r="BQ69" s="530"/>
      <c r="BR69" s="566"/>
      <c r="BS69" s="473"/>
    </row>
    <row r="70" spans="1:71" ht="24">
      <c r="A70" s="475" t="s">
        <v>34</v>
      </c>
      <c r="B70" s="468"/>
      <c r="C70" s="528">
        <f>SUM(C14:C69)</f>
        <v>403000</v>
      </c>
      <c r="D70" s="498">
        <f>SUM(D14:D69)</f>
        <v>4459.4</v>
      </c>
      <c r="E70" s="499">
        <f>SUM(E14:E69)</f>
        <v>4459.4</v>
      </c>
      <c r="F70" s="466"/>
      <c r="G70" s="475" t="s">
        <v>34</v>
      </c>
      <c r="H70" s="468"/>
      <c r="I70" s="528">
        <f>SUM(I14:I69)</f>
        <v>403000</v>
      </c>
      <c r="J70" s="569">
        <f>SUM(J14:J69)</f>
        <v>8509.4</v>
      </c>
      <c r="K70" s="499">
        <f>SUM(K14:K69)</f>
        <v>12968.8</v>
      </c>
      <c r="M70" s="475" t="s">
        <v>34</v>
      </c>
      <c r="N70" s="468"/>
      <c r="O70" s="528">
        <f>SUM(O14:O69)</f>
        <v>403000</v>
      </c>
      <c r="P70" s="569">
        <f>SUM(P14:P69)</f>
        <v>1323.8</v>
      </c>
      <c r="Q70" s="499">
        <f>SUM(Q14:Q69)</f>
        <v>14292.6</v>
      </c>
      <c r="S70" s="475" t="s">
        <v>34</v>
      </c>
      <c r="T70" s="468"/>
      <c r="U70" s="528">
        <f>SUM(U14:U69)</f>
        <v>403000</v>
      </c>
      <c r="V70" s="569">
        <f>SUM(V14:V69)</f>
        <v>1965</v>
      </c>
      <c r="W70" s="499">
        <f>SUM(W14:W69)</f>
        <v>16257.6</v>
      </c>
      <c r="Y70" s="475" t="s">
        <v>34</v>
      </c>
      <c r="Z70" s="468"/>
      <c r="AA70" s="528">
        <f>SUM(AA14:AA69)</f>
        <v>403000</v>
      </c>
      <c r="AB70" s="569">
        <f>SUM(AB14:AB69)</f>
        <v>62692.6</v>
      </c>
      <c r="AC70" s="499">
        <f>SUM(AC14:AC69)</f>
        <v>78950.2</v>
      </c>
      <c r="AE70" s="475" t="s">
        <v>34</v>
      </c>
      <c r="AF70" s="468"/>
      <c r="AG70" s="528">
        <f>SUM(AG14:AG69)</f>
        <v>403000</v>
      </c>
      <c r="AH70" s="569">
        <f>SUM(AH14:AH69)</f>
        <v>32115.2</v>
      </c>
      <c r="AI70" s="499">
        <f>SUM(AI14:AI69)</f>
        <v>111065.4</v>
      </c>
      <c r="AK70" s="475" t="s">
        <v>34</v>
      </c>
      <c r="AL70" s="468"/>
      <c r="AM70" s="528">
        <f>SUM(AM14:AM69)</f>
        <v>403000</v>
      </c>
      <c r="AN70" s="569">
        <f>SUM(AN14:AN69)</f>
        <v>28578</v>
      </c>
      <c r="AO70" s="499">
        <f>SUM(AO14:AO69)</f>
        <v>139643.4</v>
      </c>
      <c r="AQ70" s="475" t="s">
        <v>34</v>
      </c>
      <c r="AR70" s="468"/>
      <c r="AS70" s="528">
        <f>SUM(AS14:AS69)</f>
        <v>403000</v>
      </c>
      <c r="AT70" s="569">
        <f>SUM(AT14:AT69)</f>
        <v>21443.4</v>
      </c>
      <c r="AU70" s="499">
        <f>SUM(AU14:AU69)</f>
        <v>161086.8</v>
      </c>
      <c r="AW70" s="475" t="s">
        <v>34</v>
      </c>
      <c r="AX70" s="468"/>
      <c r="AY70" s="528">
        <f>SUM(AY14:AY69)</f>
        <v>403000</v>
      </c>
      <c r="AZ70" s="569">
        <f>SUM(AZ14:AZ69)</f>
        <v>29589.4</v>
      </c>
      <c r="BA70" s="499">
        <f>SUM(BA14:BA69)</f>
        <v>190676.2</v>
      </c>
      <c r="BC70" s="475" t="s">
        <v>34</v>
      </c>
      <c r="BD70" s="468"/>
      <c r="BE70" s="528">
        <f>SUM(BE14:BE69)</f>
        <v>403000</v>
      </c>
      <c r="BF70" s="569">
        <f>SUM(BF14:BF69)</f>
        <v>34408.2</v>
      </c>
      <c r="BG70" s="499">
        <f>SUM(BG14:BG69)</f>
        <v>225084.4</v>
      </c>
      <c r="BI70" s="475" t="s">
        <v>34</v>
      </c>
      <c r="BJ70" s="468"/>
      <c r="BK70" s="528">
        <f>SUM(BK14:BK69)</f>
        <v>403000</v>
      </c>
      <c r="BL70" s="569">
        <f>SUM(BL14:BL69)</f>
        <v>14989.4</v>
      </c>
      <c r="BM70" s="499">
        <f>SUM(BM14:BM69)</f>
        <v>240073.8</v>
      </c>
      <c r="BN70" s="611"/>
      <c r="BO70" s="475" t="s">
        <v>34</v>
      </c>
      <c r="BP70" s="468"/>
      <c r="BQ70" s="528">
        <f>SUM(BQ14:BQ69)</f>
        <v>403000</v>
      </c>
      <c r="BR70" s="569">
        <f>SUM(BR14:BR69)</f>
        <v>9479.4</v>
      </c>
      <c r="BS70" s="499">
        <f>SUM(BS14:BS69)</f>
        <v>249553.2</v>
      </c>
    </row>
    <row r="71" spans="1:71" ht="24">
      <c r="A71" s="467" t="s">
        <v>401</v>
      </c>
      <c r="B71" s="468">
        <v>413000</v>
      </c>
      <c r="C71" s="536">
        <v>500000</v>
      </c>
      <c r="D71" s="543"/>
      <c r="E71" s="473">
        <f>+D71</f>
        <v>0</v>
      </c>
      <c r="F71" s="466"/>
      <c r="G71" s="467" t="s">
        <v>401</v>
      </c>
      <c r="H71" s="468">
        <v>413000</v>
      </c>
      <c r="I71" s="536">
        <v>500000</v>
      </c>
      <c r="J71" s="563"/>
      <c r="K71" s="473">
        <f>+J71</f>
        <v>0</v>
      </c>
      <c r="M71" s="467" t="s">
        <v>401</v>
      </c>
      <c r="N71" s="468">
        <v>413000</v>
      </c>
      <c r="O71" s="536">
        <v>500000</v>
      </c>
      <c r="P71" s="563"/>
      <c r="Q71" s="473"/>
      <c r="S71" s="467" t="s">
        <v>401</v>
      </c>
      <c r="T71" s="468">
        <v>413000</v>
      </c>
      <c r="U71" s="536">
        <v>500000</v>
      </c>
      <c r="V71" s="563"/>
      <c r="W71" s="473"/>
      <c r="Y71" s="467" t="s">
        <v>401</v>
      </c>
      <c r="Z71" s="468">
        <v>413000</v>
      </c>
      <c r="AA71" s="536">
        <v>500000</v>
      </c>
      <c r="AB71" s="563"/>
      <c r="AC71" s="473"/>
      <c r="AE71" s="467" t="s">
        <v>401</v>
      </c>
      <c r="AF71" s="468">
        <v>413000</v>
      </c>
      <c r="AG71" s="536">
        <v>500000</v>
      </c>
      <c r="AH71" s="563"/>
      <c r="AI71" s="473"/>
      <c r="AK71" s="467" t="s">
        <v>401</v>
      </c>
      <c r="AL71" s="468">
        <v>413000</v>
      </c>
      <c r="AM71" s="536">
        <v>500000</v>
      </c>
      <c r="AN71" s="563"/>
      <c r="AO71" s="473"/>
      <c r="AQ71" s="467" t="s">
        <v>401</v>
      </c>
      <c r="AR71" s="468">
        <v>413000</v>
      </c>
      <c r="AS71" s="536">
        <v>500000</v>
      </c>
      <c r="AT71" s="563"/>
      <c r="AU71" s="473"/>
      <c r="AW71" s="467" t="s">
        <v>401</v>
      </c>
      <c r="AX71" s="468">
        <v>413000</v>
      </c>
      <c r="AY71" s="536">
        <v>500000</v>
      </c>
      <c r="AZ71" s="563"/>
      <c r="BA71" s="473"/>
      <c r="BC71" s="467" t="s">
        <v>401</v>
      </c>
      <c r="BD71" s="468">
        <v>413000</v>
      </c>
      <c r="BE71" s="536">
        <v>500000</v>
      </c>
      <c r="BF71" s="563"/>
      <c r="BG71" s="473"/>
      <c r="BI71" s="467" t="s">
        <v>401</v>
      </c>
      <c r="BJ71" s="468">
        <v>413000</v>
      </c>
      <c r="BK71" s="536">
        <v>500000</v>
      </c>
      <c r="BL71" s="563"/>
      <c r="BM71" s="473"/>
      <c r="BO71" s="467" t="s">
        <v>401</v>
      </c>
      <c r="BP71" s="468">
        <v>413000</v>
      </c>
      <c r="BQ71" s="536">
        <v>500000</v>
      </c>
      <c r="BR71" s="563"/>
      <c r="BS71" s="473"/>
    </row>
    <row r="72" spans="1:71" ht="24" customHeight="1" hidden="1">
      <c r="A72" s="464" t="s">
        <v>803</v>
      </c>
      <c r="B72" s="468">
        <v>413001</v>
      </c>
      <c r="C72" s="527"/>
      <c r="D72" s="543"/>
      <c r="E72" s="473">
        <f>+D72</f>
        <v>0</v>
      </c>
      <c r="F72" s="466"/>
      <c r="G72" s="464" t="s">
        <v>803</v>
      </c>
      <c r="H72" s="468">
        <v>413001</v>
      </c>
      <c r="I72" s="527"/>
      <c r="J72" s="563"/>
      <c r="K72" s="473">
        <f>+J72</f>
        <v>0</v>
      </c>
      <c r="M72" s="464" t="s">
        <v>803</v>
      </c>
      <c r="N72" s="468">
        <v>413001</v>
      </c>
      <c r="O72" s="527"/>
      <c r="P72" s="563"/>
      <c r="Q72" s="473">
        <f>+P72</f>
        <v>0</v>
      </c>
      <c r="S72" s="464" t="s">
        <v>803</v>
      </c>
      <c r="T72" s="468">
        <v>413001</v>
      </c>
      <c r="U72" s="527"/>
      <c r="V72" s="563"/>
      <c r="W72" s="473">
        <f>+V72</f>
        <v>0</v>
      </c>
      <c r="Y72" s="464" t="s">
        <v>803</v>
      </c>
      <c r="Z72" s="468">
        <v>413001</v>
      </c>
      <c r="AA72" s="527"/>
      <c r="AB72" s="563"/>
      <c r="AC72" s="473">
        <f>+AB72</f>
        <v>0</v>
      </c>
      <c r="AE72" s="464" t="s">
        <v>803</v>
      </c>
      <c r="AF72" s="468">
        <v>413001</v>
      </c>
      <c r="AG72" s="527"/>
      <c r="AH72" s="563"/>
      <c r="AI72" s="473">
        <f>+AH72</f>
        <v>0</v>
      </c>
      <c r="AK72" s="464" t="s">
        <v>803</v>
      </c>
      <c r="AL72" s="468">
        <v>413001</v>
      </c>
      <c r="AM72" s="527"/>
      <c r="AN72" s="563"/>
      <c r="AO72" s="473">
        <f>+AN72</f>
        <v>0</v>
      </c>
      <c r="AQ72" s="464" t="s">
        <v>803</v>
      </c>
      <c r="AR72" s="468">
        <v>413001</v>
      </c>
      <c r="AS72" s="527"/>
      <c r="AT72" s="563"/>
      <c r="AU72" s="473">
        <f>+AT72</f>
        <v>0</v>
      </c>
      <c r="AW72" s="464" t="s">
        <v>803</v>
      </c>
      <c r="AX72" s="468">
        <v>413001</v>
      </c>
      <c r="AY72" s="527"/>
      <c r="AZ72" s="563"/>
      <c r="BA72" s="473">
        <f>+AZ72</f>
        <v>0</v>
      </c>
      <c r="BC72" s="464" t="s">
        <v>803</v>
      </c>
      <c r="BD72" s="468">
        <v>413001</v>
      </c>
      <c r="BE72" s="527"/>
      <c r="BF72" s="563"/>
      <c r="BG72" s="473">
        <f>+BF72</f>
        <v>0</v>
      </c>
      <c r="BI72" s="464" t="s">
        <v>803</v>
      </c>
      <c r="BJ72" s="468">
        <v>413001</v>
      </c>
      <c r="BK72" s="527"/>
      <c r="BL72" s="563"/>
      <c r="BM72" s="473">
        <f>+BL72</f>
        <v>0</v>
      </c>
      <c r="BO72" s="464" t="s">
        <v>803</v>
      </c>
      <c r="BP72" s="468">
        <v>413001</v>
      </c>
      <c r="BQ72" s="527"/>
      <c r="BR72" s="563"/>
      <c r="BS72" s="473">
        <f>+BR72</f>
        <v>0</v>
      </c>
    </row>
    <row r="73" spans="1:71" ht="24">
      <c r="A73" s="464" t="s">
        <v>804</v>
      </c>
      <c r="B73" s="468">
        <v>413002</v>
      </c>
      <c r="C73" s="527">
        <v>200000</v>
      </c>
      <c r="D73" s="544">
        <v>27100</v>
      </c>
      <c r="E73" s="473">
        <f>+D73</f>
        <v>27100</v>
      </c>
      <c r="F73" s="466"/>
      <c r="G73" s="464" t="s">
        <v>804</v>
      </c>
      <c r="H73" s="468">
        <v>413002</v>
      </c>
      <c r="I73" s="527">
        <v>200000</v>
      </c>
      <c r="J73" s="564">
        <v>9200</v>
      </c>
      <c r="K73" s="473">
        <f>+D73+J73</f>
        <v>36300</v>
      </c>
      <c r="M73" s="464" t="s">
        <v>804</v>
      </c>
      <c r="N73" s="468">
        <v>413002</v>
      </c>
      <c r="O73" s="527">
        <v>200000</v>
      </c>
      <c r="P73" s="564">
        <v>29600</v>
      </c>
      <c r="Q73" s="473">
        <f>+D73+J73+P73</f>
        <v>65900</v>
      </c>
      <c r="S73" s="464" t="s">
        <v>804</v>
      </c>
      <c r="T73" s="468">
        <v>413002</v>
      </c>
      <c r="U73" s="527">
        <v>200000</v>
      </c>
      <c r="V73" s="564">
        <v>15400</v>
      </c>
      <c r="W73" s="473">
        <f>+D73+J73+P73+V73</f>
        <v>81300</v>
      </c>
      <c r="Y73" s="464" t="s">
        <v>804</v>
      </c>
      <c r="Z73" s="468">
        <v>413002</v>
      </c>
      <c r="AA73" s="527">
        <v>200000</v>
      </c>
      <c r="AB73" s="564">
        <v>15700</v>
      </c>
      <c r="AC73" s="473">
        <f>+J73+P73+V73+AB73+D73</f>
        <v>97000</v>
      </c>
      <c r="AE73" s="464" t="s">
        <v>804</v>
      </c>
      <c r="AF73" s="468">
        <v>413002</v>
      </c>
      <c r="AG73" s="527">
        <v>200000</v>
      </c>
      <c r="AH73" s="564">
        <v>17200</v>
      </c>
      <c r="AI73" s="473">
        <f>+P73+V73+AB73+AH73+J73+D73</f>
        <v>114200</v>
      </c>
      <c r="AK73" s="464" t="s">
        <v>804</v>
      </c>
      <c r="AL73" s="468">
        <v>413002</v>
      </c>
      <c r="AM73" s="527">
        <v>200000</v>
      </c>
      <c r="AN73" s="564">
        <v>30050</v>
      </c>
      <c r="AO73" s="473">
        <f>+V73+AB73+AH73+AN73+P73+J73+D73</f>
        <v>144250</v>
      </c>
      <c r="AQ73" s="464" t="s">
        <v>804</v>
      </c>
      <c r="AR73" s="468">
        <v>413002</v>
      </c>
      <c r="AS73" s="527">
        <v>200000</v>
      </c>
      <c r="AT73" s="564">
        <v>20950</v>
      </c>
      <c r="AU73" s="473">
        <f>+AB73+AH73+AN73+AT73+V73+P73+J73+D73</f>
        <v>165200</v>
      </c>
      <c r="AW73" s="464" t="s">
        <v>804</v>
      </c>
      <c r="AX73" s="468">
        <v>413002</v>
      </c>
      <c r="AY73" s="527">
        <v>200000</v>
      </c>
      <c r="AZ73" s="564">
        <v>25600</v>
      </c>
      <c r="BA73" s="473">
        <f>+AH73+AN73+AT73+AZ73+AB73+V73+P73+J73+D73</f>
        <v>190800</v>
      </c>
      <c r="BC73" s="464" t="s">
        <v>804</v>
      </c>
      <c r="BD73" s="468">
        <v>413002</v>
      </c>
      <c r="BE73" s="527">
        <v>200000</v>
      </c>
      <c r="BF73" s="564">
        <v>17350</v>
      </c>
      <c r="BG73" s="473">
        <f>+AN73+AT73+AZ73+BF73+AH73+AB73+V73+P73+J73+D73</f>
        <v>208150</v>
      </c>
      <c r="BI73" s="464" t="s">
        <v>804</v>
      </c>
      <c r="BJ73" s="468">
        <v>413002</v>
      </c>
      <c r="BK73" s="527">
        <v>200000</v>
      </c>
      <c r="BL73" s="564">
        <v>19450</v>
      </c>
      <c r="BM73" s="473">
        <f>+AT73+AZ73+BF73+BL73+AN73+AH73+AB73+V73+P73+J73+D73</f>
        <v>227600</v>
      </c>
      <c r="BO73" s="464" t="s">
        <v>804</v>
      </c>
      <c r="BP73" s="468">
        <v>413002</v>
      </c>
      <c r="BQ73" s="527">
        <v>200000</v>
      </c>
      <c r="BR73" s="564">
        <v>21050</v>
      </c>
      <c r="BS73" s="473">
        <f>+AZ73+BF73+BL73+BR73+AT73+AN73+AH73+AB73+V73+P73+J73+D73</f>
        <v>248650</v>
      </c>
    </row>
    <row r="74" spans="1:71" ht="24">
      <c r="A74" s="464" t="s">
        <v>805</v>
      </c>
      <c r="B74" s="468">
        <v>413003</v>
      </c>
      <c r="C74" s="527">
        <v>300000</v>
      </c>
      <c r="D74" s="544"/>
      <c r="E74" s="473">
        <f>+D74</f>
        <v>0</v>
      </c>
      <c r="F74" s="466"/>
      <c r="G74" s="464" t="s">
        <v>805</v>
      </c>
      <c r="H74" s="468">
        <v>413003</v>
      </c>
      <c r="I74" s="527">
        <v>300000</v>
      </c>
      <c r="J74" s="564">
        <v>34609.31</v>
      </c>
      <c r="K74" s="473">
        <f>+D74+J74</f>
        <v>34609.31</v>
      </c>
      <c r="M74" s="464" t="s">
        <v>805</v>
      </c>
      <c r="N74" s="468">
        <v>413003</v>
      </c>
      <c r="O74" s="527">
        <v>300000</v>
      </c>
      <c r="P74" s="564"/>
      <c r="Q74" s="473">
        <f>+D74+J74+P74</f>
        <v>34609.31</v>
      </c>
      <c r="S74" s="464" t="s">
        <v>805</v>
      </c>
      <c r="T74" s="468">
        <v>413003</v>
      </c>
      <c r="U74" s="527">
        <v>300000</v>
      </c>
      <c r="V74" s="564">
        <v>28418.98</v>
      </c>
      <c r="W74" s="473">
        <f>+D74+J74+P74+V74</f>
        <v>63028.28999999999</v>
      </c>
      <c r="Y74" s="464" t="s">
        <v>805</v>
      </c>
      <c r="Z74" s="468">
        <v>413003</v>
      </c>
      <c r="AA74" s="527">
        <v>300000</v>
      </c>
      <c r="AB74" s="564"/>
      <c r="AC74" s="473">
        <f>+J74+P74+V74+AB74+D74</f>
        <v>63028.28999999999</v>
      </c>
      <c r="AE74" s="464" t="s">
        <v>805</v>
      </c>
      <c r="AF74" s="468">
        <v>413003</v>
      </c>
      <c r="AG74" s="527">
        <v>300000</v>
      </c>
      <c r="AH74" s="564">
        <v>20123.74</v>
      </c>
      <c r="AI74" s="473">
        <f>+P74+V74+AB74+AH74+J74+D74</f>
        <v>83152.03</v>
      </c>
      <c r="AK74" s="464" t="s">
        <v>805</v>
      </c>
      <c r="AL74" s="468">
        <v>413003</v>
      </c>
      <c r="AM74" s="527">
        <v>300000</v>
      </c>
      <c r="AN74" s="564">
        <v>58362.99</v>
      </c>
      <c r="AO74" s="473">
        <f>+V74+AB74+AH74+AN74+P74+J74+D74</f>
        <v>141515.02</v>
      </c>
      <c r="AQ74" s="464" t="s">
        <v>805</v>
      </c>
      <c r="AR74" s="468">
        <v>413003</v>
      </c>
      <c r="AS74" s="527">
        <v>300000</v>
      </c>
      <c r="AT74" s="564">
        <v>19743.33</v>
      </c>
      <c r="AU74" s="473">
        <f>+AB74+AH74+AN74+AT74+V74+P74+J74+D74</f>
        <v>161258.34999999998</v>
      </c>
      <c r="AW74" s="464" t="s">
        <v>805</v>
      </c>
      <c r="AX74" s="468">
        <v>413003</v>
      </c>
      <c r="AY74" s="527">
        <v>300000</v>
      </c>
      <c r="AZ74" s="564">
        <v>15348.11</v>
      </c>
      <c r="BA74" s="473">
        <f>+AH74+AN74+AT74+AZ74+AB74+V74+P74+J74+D74</f>
        <v>176606.46</v>
      </c>
      <c r="BC74" s="464" t="s">
        <v>805</v>
      </c>
      <c r="BD74" s="468">
        <v>413003</v>
      </c>
      <c r="BE74" s="527">
        <v>300000</v>
      </c>
      <c r="BF74" s="564">
        <v>97431.46</v>
      </c>
      <c r="BG74" s="473">
        <f>+AN74+AT74+AZ74+BF74+AH74+AB74+V74+P74+J74+D74</f>
        <v>274037.92000000004</v>
      </c>
      <c r="BI74" s="464" t="s">
        <v>805</v>
      </c>
      <c r="BJ74" s="468">
        <v>413003</v>
      </c>
      <c r="BK74" s="527">
        <v>300000</v>
      </c>
      <c r="BL74" s="564"/>
      <c r="BM74" s="473">
        <f>+AT74+AZ74+BF74+BL74+AN74+AH74+AB74+V74+P74+J74+D74</f>
        <v>274037.92000000004</v>
      </c>
      <c r="BO74" s="464" t="s">
        <v>805</v>
      </c>
      <c r="BP74" s="468">
        <v>413003</v>
      </c>
      <c r="BQ74" s="527">
        <v>300000</v>
      </c>
      <c r="BR74" s="564">
        <v>87585.33</v>
      </c>
      <c r="BS74" s="473">
        <f>+AZ74+BF74+BL74+BR74+AT74+AN74+AH74+AB74+V74+P74+J74+D74</f>
        <v>361623.25</v>
      </c>
    </row>
    <row r="75" spans="1:71" ht="24" customHeight="1" hidden="1">
      <c r="A75" s="464" t="s">
        <v>806</v>
      </c>
      <c r="B75" s="468">
        <v>413004</v>
      </c>
      <c r="C75" s="527"/>
      <c r="D75" s="543"/>
      <c r="E75" s="473"/>
      <c r="F75" s="466"/>
      <c r="G75" s="464" t="s">
        <v>806</v>
      </c>
      <c r="H75" s="468">
        <v>413004</v>
      </c>
      <c r="I75" s="527"/>
      <c r="J75" s="563"/>
      <c r="K75" s="473"/>
      <c r="M75" s="464" t="s">
        <v>806</v>
      </c>
      <c r="N75" s="468">
        <v>413004</v>
      </c>
      <c r="O75" s="527"/>
      <c r="P75" s="563"/>
      <c r="Q75" s="473"/>
      <c r="S75" s="464" t="s">
        <v>806</v>
      </c>
      <c r="T75" s="468">
        <v>413004</v>
      </c>
      <c r="U75" s="527"/>
      <c r="V75" s="563"/>
      <c r="W75" s="473"/>
      <c r="Y75" s="464" t="s">
        <v>806</v>
      </c>
      <c r="Z75" s="468">
        <v>413004</v>
      </c>
      <c r="AA75" s="527"/>
      <c r="AB75" s="563"/>
      <c r="AC75" s="473"/>
      <c r="AE75" s="464" t="s">
        <v>806</v>
      </c>
      <c r="AF75" s="468">
        <v>413004</v>
      </c>
      <c r="AG75" s="527"/>
      <c r="AH75" s="563"/>
      <c r="AI75" s="473"/>
      <c r="AK75" s="464" t="s">
        <v>806</v>
      </c>
      <c r="AL75" s="468">
        <v>413004</v>
      </c>
      <c r="AM75" s="527"/>
      <c r="AN75" s="563"/>
      <c r="AO75" s="473"/>
      <c r="AQ75" s="464" t="s">
        <v>806</v>
      </c>
      <c r="AR75" s="468">
        <v>413004</v>
      </c>
      <c r="AS75" s="527"/>
      <c r="AT75" s="563"/>
      <c r="AU75" s="473"/>
      <c r="AW75" s="464" t="s">
        <v>806</v>
      </c>
      <c r="AX75" s="468">
        <v>413004</v>
      </c>
      <c r="AY75" s="527"/>
      <c r="AZ75" s="563"/>
      <c r="BA75" s="473"/>
      <c r="BC75" s="464" t="s">
        <v>806</v>
      </c>
      <c r="BD75" s="468">
        <v>413004</v>
      </c>
      <c r="BE75" s="527"/>
      <c r="BF75" s="563"/>
      <c r="BG75" s="473"/>
      <c r="BI75" s="464" t="s">
        <v>806</v>
      </c>
      <c r="BJ75" s="468">
        <v>413004</v>
      </c>
      <c r="BK75" s="527"/>
      <c r="BL75" s="563"/>
      <c r="BM75" s="473"/>
      <c r="BO75" s="464" t="s">
        <v>806</v>
      </c>
      <c r="BP75" s="468">
        <v>413004</v>
      </c>
      <c r="BQ75" s="527"/>
      <c r="BR75" s="563"/>
      <c r="BS75" s="473"/>
    </row>
    <row r="76" spans="1:71" ht="24" customHeight="1" hidden="1">
      <c r="A76" s="464" t="s">
        <v>807</v>
      </c>
      <c r="B76" s="468">
        <v>413005</v>
      </c>
      <c r="C76" s="527"/>
      <c r="D76" s="543"/>
      <c r="E76" s="473"/>
      <c r="F76" s="466"/>
      <c r="G76" s="464" t="s">
        <v>807</v>
      </c>
      <c r="H76" s="468">
        <v>413005</v>
      </c>
      <c r="I76" s="527"/>
      <c r="J76" s="563"/>
      <c r="K76" s="473"/>
      <c r="M76" s="464" t="s">
        <v>807</v>
      </c>
      <c r="N76" s="468">
        <v>413005</v>
      </c>
      <c r="O76" s="527"/>
      <c r="P76" s="563"/>
      <c r="Q76" s="473"/>
      <c r="S76" s="464" t="s">
        <v>807</v>
      </c>
      <c r="T76" s="468">
        <v>413005</v>
      </c>
      <c r="U76" s="527"/>
      <c r="V76" s="563"/>
      <c r="W76" s="473"/>
      <c r="Y76" s="464" t="s">
        <v>807</v>
      </c>
      <c r="Z76" s="468">
        <v>413005</v>
      </c>
      <c r="AA76" s="527"/>
      <c r="AB76" s="563"/>
      <c r="AC76" s="473"/>
      <c r="AE76" s="464" t="s">
        <v>807</v>
      </c>
      <c r="AF76" s="468">
        <v>413005</v>
      </c>
      <c r="AG76" s="527"/>
      <c r="AH76" s="563"/>
      <c r="AI76" s="473"/>
      <c r="AK76" s="464" t="s">
        <v>807</v>
      </c>
      <c r="AL76" s="468">
        <v>413005</v>
      </c>
      <c r="AM76" s="527"/>
      <c r="AN76" s="563"/>
      <c r="AO76" s="473"/>
      <c r="AQ76" s="464" t="s">
        <v>807</v>
      </c>
      <c r="AR76" s="468">
        <v>413005</v>
      </c>
      <c r="AS76" s="527"/>
      <c r="AT76" s="563"/>
      <c r="AU76" s="473"/>
      <c r="AW76" s="464" t="s">
        <v>807</v>
      </c>
      <c r="AX76" s="468">
        <v>413005</v>
      </c>
      <c r="AY76" s="527"/>
      <c r="AZ76" s="563"/>
      <c r="BA76" s="473"/>
      <c r="BC76" s="464" t="s">
        <v>807</v>
      </c>
      <c r="BD76" s="468">
        <v>413005</v>
      </c>
      <c r="BE76" s="527"/>
      <c r="BF76" s="563"/>
      <c r="BG76" s="473"/>
      <c r="BI76" s="464" t="s">
        <v>807</v>
      </c>
      <c r="BJ76" s="468">
        <v>413005</v>
      </c>
      <c r="BK76" s="527"/>
      <c r="BL76" s="563"/>
      <c r="BM76" s="473"/>
      <c r="BO76" s="464" t="s">
        <v>807</v>
      </c>
      <c r="BP76" s="468">
        <v>413005</v>
      </c>
      <c r="BQ76" s="527"/>
      <c r="BR76" s="563"/>
      <c r="BS76" s="473"/>
    </row>
    <row r="77" spans="1:71" ht="24" customHeight="1" hidden="1">
      <c r="A77" s="464" t="s">
        <v>808</v>
      </c>
      <c r="B77" s="468">
        <v>413999</v>
      </c>
      <c r="C77" s="527"/>
      <c r="D77" s="543"/>
      <c r="E77" s="473"/>
      <c r="F77" s="466"/>
      <c r="G77" s="464" t="s">
        <v>808</v>
      </c>
      <c r="H77" s="468">
        <v>413999</v>
      </c>
      <c r="I77" s="527"/>
      <c r="J77" s="563"/>
      <c r="K77" s="473"/>
      <c r="M77" s="464" t="s">
        <v>808</v>
      </c>
      <c r="N77" s="468">
        <v>413999</v>
      </c>
      <c r="O77" s="527"/>
      <c r="P77" s="563"/>
      <c r="Q77" s="473"/>
      <c r="S77" s="464" t="s">
        <v>808</v>
      </c>
      <c r="T77" s="468">
        <v>413999</v>
      </c>
      <c r="U77" s="527"/>
      <c r="V77" s="563"/>
      <c r="W77" s="473"/>
      <c r="Y77" s="464" t="s">
        <v>808</v>
      </c>
      <c r="Z77" s="468">
        <v>413999</v>
      </c>
      <c r="AA77" s="527"/>
      <c r="AB77" s="563"/>
      <c r="AC77" s="473"/>
      <c r="AE77" s="464" t="s">
        <v>808</v>
      </c>
      <c r="AF77" s="468">
        <v>413999</v>
      </c>
      <c r="AG77" s="527"/>
      <c r="AH77" s="563"/>
      <c r="AI77" s="473"/>
      <c r="AK77" s="464" t="s">
        <v>808</v>
      </c>
      <c r="AL77" s="468">
        <v>413999</v>
      </c>
      <c r="AM77" s="527"/>
      <c r="AN77" s="563"/>
      <c r="AO77" s="473"/>
      <c r="AQ77" s="464" t="s">
        <v>808</v>
      </c>
      <c r="AR77" s="468">
        <v>413999</v>
      </c>
      <c r="AS77" s="527"/>
      <c r="AT77" s="563"/>
      <c r="AU77" s="473"/>
      <c r="AW77" s="464" t="s">
        <v>808</v>
      </c>
      <c r="AX77" s="468">
        <v>413999</v>
      </c>
      <c r="AY77" s="527"/>
      <c r="AZ77" s="563"/>
      <c r="BA77" s="473"/>
      <c r="BC77" s="464" t="s">
        <v>808</v>
      </c>
      <c r="BD77" s="468">
        <v>413999</v>
      </c>
      <c r="BE77" s="527"/>
      <c r="BF77" s="563"/>
      <c r="BG77" s="473"/>
      <c r="BI77" s="464" t="s">
        <v>808</v>
      </c>
      <c r="BJ77" s="468">
        <v>413999</v>
      </c>
      <c r="BK77" s="527"/>
      <c r="BL77" s="563"/>
      <c r="BM77" s="473"/>
      <c r="BO77" s="464" t="s">
        <v>808</v>
      </c>
      <c r="BP77" s="468">
        <v>413999</v>
      </c>
      <c r="BQ77" s="527"/>
      <c r="BR77" s="563"/>
      <c r="BS77" s="473"/>
    </row>
    <row r="78" spans="1:71" ht="24">
      <c r="A78" s="475" t="s">
        <v>34</v>
      </c>
      <c r="B78" s="468"/>
      <c r="C78" s="528">
        <f>SUM(C72:C77)</f>
        <v>500000</v>
      </c>
      <c r="D78" s="512">
        <f>SUM(D73:D77)</f>
        <v>27100</v>
      </c>
      <c r="E78" s="499">
        <f>SUM(E72:E77)</f>
        <v>27100</v>
      </c>
      <c r="F78" s="466"/>
      <c r="G78" s="475" t="s">
        <v>34</v>
      </c>
      <c r="H78" s="468"/>
      <c r="I78" s="528">
        <f>SUM(I72:I77)</f>
        <v>500000</v>
      </c>
      <c r="J78" s="570">
        <f>SUM(J73:J77)</f>
        <v>43809.31</v>
      </c>
      <c r="K78" s="499">
        <f>SUM(K72:K77)</f>
        <v>70909.31</v>
      </c>
      <c r="M78" s="475" t="s">
        <v>34</v>
      </c>
      <c r="N78" s="468"/>
      <c r="O78" s="528">
        <f>SUM(O72:O77)</f>
        <v>500000</v>
      </c>
      <c r="P78" s="570">
        <f>SUM(P73:P77)</f>
        <v>29600</v>
      </c>
      <c r="Q78" s="499">
        <f>SUM(Q72:Q77)</f>
        <v>100509.31</v>
      </c>
      <c r="S78" s="475" t="s">
        <v>34</v>
      </c>
      <c r="T78" s="468"/>
      <c r="U78" s="528">
        <f>SUM(U72:U77)</f>
        <v>500000</v>
      </c>
      <c r="V78" s="570">
        <f>SUM(V73:V77)</f>
        <v>43818.979999999996</v>
      </c>
      <c r="W78" s="499">
        <f>SUM(W72:W77)</f>
        <v>144328.28999999998</v>
      </c>
      <c r="Y78" s="475" t="s">
        <v>34</v>
      </c>
      <c r="Z78" s="468"/>
      <c r="AA78" s="528">
        <f>SUM(AA72:AA77)</f>
        <v>500000</v>
      </c>
      <c r="AB78" s="570">
        <f>SUM(AB73:AB77)</f>
        <v>15700</v>
      </c>
      <c r="AC78" s="499">
        <f>SUM(AC72:AC77)</f>
        <v>160028.28999999998</v>
      </c>
      <c r="AE78" s="475" t="s">
        <v>34</v>
      </c>
      <c r="AF78" s="468"/>
      <c r="AG78" s="528">
        <f>SUM(AG72:AG77)</f>
        <v>500000</v>
      </c>
      <c r="AH78" s="570">
        <f>SUM(AH73:AH77)</f>
        <v>37323.740000000005</v>
      </c>
      <c r="AI78" s="499">
        <f>SUM(AI72:AI77)</f>
        <v>197352.03</v>
      </c>
      <c r="AK78" s="475" t="s">
        <v>34</v>
      </c>
      <c r="AL78" s="468"/>
      <c r="AM78" s="528">
        <f>SUM(AM72:AM77)</f>
        <v>500000</v>
      </c>
      <c r="AN78" s="570">
        <f>SUM(AN73:AN77)</f>
        <v>88412.98999999999</v>
      </c>
      <c r="AO78" s="499">
        <f>SUM(AO72:AO77)</f>
        <v>285765.02</v>
      </c>
      <c r="AQ78" s="475" t="s">
        <v>34</v>
      </c>
      <c r="AR78" s="468"/>
      <c r="AS78" s="528">
        <f>SUM(AS72:AS77)</f>
        <v>500000</v>
      </c>
      <c r="AT78" s="570">
        <f>SUM(AT73:AT77)</f>
        <v>40693.33</v>
      </c>
      <c r="AU78" s="499">
        <f>SUM(AU72:AU77)</f>
        <v>326458.35</v>
      </c>
      <c r="AW78" s="475" t="s">
        <v>34</v>
      </c>
      <c r="AX78" s="468"/>
      <c r="AY78" s="528">
        <f>SUM(AY72:AY77)</f>
        <v>500000</v>
      </c>
      <c r="AZ78" s="570">
        <f>SUM(AZ73:AZ77)</f>
        <v>40948.11</v>
      </c>
      <c r="BA78" s="499">
        <f>SUM(BA72:BA77)</f>
        <v>367406.45999999996</v>
      </c>
      <c r="BC78" s="475" t="s">
        <v>34</v>
      </c>
      <c r="BD78" s="468"/>
      <c r="BE78" s="528">
        <f>SUM(BE72:BE77)</f>
        <v>500000</v>
      </c>
      <c r="BF78" s="570">
        <f>SUM(BF73:BF77)</f>
        <v>114781.46</v>
      </c>
      <c r="BG78" s="499">
        <f>SUM(BG72:BG77)</f>
        <v>482187.92000000004</v>
      </c>
      <c r="BI78" s="475" t="s">
        <v>34</v>
      </c>
      <c r="BJ78" s="468"/>
      <c r="BK78" s="528">
        <f>SUM(BK72:BK77)</f>
        <v>500000</v>
      </c>
      <c r="BL78" s="570">
        <f>SUM(BL73:BL77)</f>
        <v>19450</v>
      </c>
      <c r="BM78" s="499">
        <f>SUM(BM72:BM77)</f>
        <v>501637.92000000004</v>
      </c>
      <c r="BN78" s="611"/>
      <c r="BO78" s="475" t="s">
        <v>34</v>
      </c>
      <c r="BP78" s="468"/>
      <c r="BQ78" s="528">
        <f>SUM(BQ72:BQ77)</f>
        <v>500000</v>
      </c>
      <c r="BR78" s="570">
        <f>SUM(BR73:BR77)</f>
        <v>108635.33</v>
      </c>
      <c r="BS78" s="499">
        <f>SUM(BS72:BS77)</f>
        <v>610273.25</v>
      </c>
    </row>
    <row r="79" spans="1:71" ht="24" customHeight="1" hidden="1">
      <c r="A79" s="467" t="s">
        <v>423</v>
      </c>
      <c r="B79" s="468">
        <v>414000</v>
      </c>
      <c r="C79" s="527"/>
      <c r="D79" s="543"/>
      <c r="E79" s="473"/>
      <c r="F79" s="466"/>
      <c r="G79" s="467" t="s">
        <v>423</v>
      </c>
      <c r="H79" s="468">
        <v>414000</v>
      </c>
      <c r="I79" s="527"/>
      <c r="J79" s="563"/>
      <c r="K79" s="473"/>
      <c r="M79" s="467" t="s">
        <v>423</v>
      </c>
      <c r="N79" s="468">
        <v>414000</v>
      </c>
      <c r="O79" s="527"/>
      <c r="P79" s="563"/>
      <c r="Q79" s="473"/>
      <c r="S79" s="467" t="s">
        <v>423</v>
      </c>
      <c r="T79" s="468">
        <v>414000</v>
      </c>
      <c r="U79" s="527"/>
      <c r="V79" s="563"/>
      <c r="W79" s="473"/>
      <c r="Y79" s="467" t="s">
        <v>423</v>
      </c>
      <c r="Z79" s="468">
        <v>414000</v>
      </c>
      <c r="AA79" s="527"/>
      <c r="AB79" s="563"/>
      <c r="AC79" s="473"/>
      <c r="AE79" s="467" t="s">
        <v>423</v>
      </c>
      <c r="AF79" s="468">
        <v>414000</v>
      </c>
      <c r="AG79" s="527"/>
      <c r="AH79" s="563"/>
      <c r="AI79" s="473"/>
      <c r="AK79" s="467" t="s">
        <v>423</v>
      </c>
      <c r="AL79" s="468">
        <v>414000</v>
      </c>
      <c r="AM79" s="527"/>
      <c r="AN79" s="563"/>
      <c r="AO79" s="473"/>
      <c r="AQ79" s="467" t="s">
        <v>423</v>
      </c>
      <c r="AR79" s="468">
        <v>414000</v>
      </c>
      <c r="AS79" s="527"/>
      <c r="AT79" s="563"/>
      <c r="AU79" s="473"/>
      <c r="AW79" s="467" t="s">
        <v>423</v>
      </c>
      <c r="AX79" s="468">
        <v>414000</v>
      </c>
      <c r="AY79" s="527"/>
      <c r="AZ79" s="563"/>
      <c r="BA79" s="473"/>
      <c r="BC79" s="467" t="s">
        <v>423</v>
      </c>
      <c r="BD79" s="468">
        <v>414000</v>
      </c>
      <c r="BE79" s="527"/>
      <c r="BF79" s="563"/>
      <c r="BG79" s="473"/>
      <c r="BI79" s="467" t="s">
        <v>423</v>
      </c>
      <c r="BJ79" s="468">
        <v>414000</v>
      </c>
      <c r="BK79" s="527"/>
      <c r="BL79" s="563"/>
      <c r="BM79" s="473"/>
      <c r="BO79" s="467" t="s">
        <v>423</v>
      </c>
      <c r="BP79" s="468">
        <v>414000</v>
      </c>
      <c r="BQ79" s="527"/>
      <c r="BR79" s="563"/>
      <c r="BS79" s="473"/>
    </row>
    <row r="80" spans="1:71" ht="24" customHeight="1" hidden="1">
      <c r="A80" s="464" t="s">
        <v>809</v>
      </c>
      <c r="B80" s="468">
        <v>414001</v>
      </c>
      <c r="C80" s="527"/>
      <c r="D80" s="543"/>
      <c r="E80" s="473"/>
      <c r="F80" s="466"/>
      <c r="G80" s="464" t="s">
        <v>809</v>
      </c>
      <c r="H80" s="468">
        <v>414001</v>
      </c>
      <c r="I80" s="527"/>
      <c r="J80" s="563"/>
      <c r="K80" s="473"/>
      <c r="M80" s="464" t="s">
        <v>809</v>
      </c>
      <c r="N80" s="468">
        <v>414001</v>
      </c>
      <c r="O80" s="527"/>
      <c r="P80" s="563"/>
      <c r="Q80" s="473"/>
      <c r="S80" s="464" t="s">
        <v>809</v>
      </c>
      <c r="T80" s="468">
        <v>414001</v>
      </c>
      <c r="U80" s="527"/>
      <c r="V80" s="563"/>
      <c r="W80" s="473"/>
      <c r="Y80" s="464" t="s">
        <v>809</v>
      </c>
      <c r="Z80" s="468">
        <v>414001</v>
      </c>
      <c r="AA80" s="527"/>
      <c r="AB80" s="563"/>
      <c r="AC80" s="473"/>
      <c r="AE80" s="464" t="s">
        <v>809</v>
      </c>
      <c r="AF80" s="468">
        <v>414001</v>
      </c>
      <c r="AG80" s="527"/>
      <c r="AH80" s="563"/>
      <c r="AI80" s="473"/>
      <c r="AK80" s="464" t="s">
        <v>809</v>
      </c>
      <c r="AL80" s="468">
        <v>414001</v>
      </c>
      <c r="AM80" s="527"/>
      <c r="AN80" s="563"/>
      <c r="AO80" s="473"/>
      <c r="AQ80" s="464" t="s">
        <v>809</v>
      </c>
      <c r="AR80" s="468">
        <v>414001</v>
      </c>
      <c r="AS80" s="527"/>
      <c r="AT80" s="563"/>
      <c r="AU80" s="473"/>
      <c r="AW80" s="464" t="s">
        <v>809</v>
      </c>
      <c r="AX80" s="468">
        <v>414001</v>
      </c>
      <c r="AY80" s="527"/>
      <c r="AZ80" s="563"/>
      <c r="BA80" s="473"/>
      <c r="BC80" s="464" t="s">
        <v>809</v>
      </c>
      <c r="BD80" s="468">
        <v>414001</v>
      </c>
      <c r="BE80" s="527"/>
      <c r="BF80" s="563"/>
      <c r="BG80" s="473"/>
      <c r="BI80" s="464" t="s">
        <v>809</v>
      </c>
      <c r="BJ80" s="468">
        <v>414001</v>
      </c>
      <c r="BK80" s="527"/>
      <c r="BL80" s="563"/>
      <c r="BM80" s="473"/>
      <c r="BO80" s="464" t="s">
        <v>809</v>
      </c>
      <c r="BP80" s="468">
        <v>414001</v>
      </c>
      <c r="BQ80" s="527"/>
      <c r="BR80" s="563"/>
      <c r="BS80" s="473"/>
    </row>
    <row r="81" spans="1:71" ht="24" customHeight="1" hidden="1">
      <c r="A81" s="464" t="s">
        <v>810</v>
      </c>
      <c r="B81" s="468">
        <v>414002</v>
      </c>
      <c r="C81" s="527"/>
      <c r="D81" s="543"/>
      <c r="E81" s="473"/>
      <c r="F81" s="466"/>
      <c r="G81" s="464" t="s">
        <v>810</v>
      </c>
      <c r="H81" s="468">
        <v>414002</v>
      </c>
      <c r="I81" s="527"/>
      <c r="J81" s="563"/>
      <c r="K81" s="473"/>
      <c r="M81" s="464" t="s">
        <v>810</v>
      </c>
      <c r="N81" s="468">
        <v>414002</v>
      </c>
      <c r="O81" s="527"/>
      <c r="P81" s="563"/>
      <c r="Q81" s="473"/>
      <c r="S81" s="464" t="s">
        <v>810</v>
      </c>
      <c r="T81" s="468">
        <v>414002</v>
      </c>
      <c r="U81" s="527"/>
      <c r="V81" s="563"/>
      <c r="W81" s="473"/>
      <c r="Y81" s="464" t="s">
        <v>810</v>
      </c>
      <c r="Z81" s="468">
        <v>414002</v>
      </c>
      <c r="AA81" s="527"/>
      <c r="AB81" s="563"/>
      <c r="AC81" s="473"/>
      <c r="AE81" s="464" t="s">
        <v>810</v>
      </c>
      <c r="AF81" s="468">
        <v>414002</v>
      </c>
      <c r="AG81" s="527"/>
      <c r="AH81" s="563"/>
      <c r="AI81" s="473"/>
      <c r="AK81" s="464" t="s">
        <v>810</v>
      </c>
      <c r="AL81" s="468">
        <v>414002</v>
      </c>
      <c r="AM81" s="527"/>
      <c r="AN81" s="563"/>
      <c r="AO81" s="473"/>
      <c r="AQ81" s="464" t="s">
        <v>810</v>
      </c>
      <c r="AR81" s="468">
        <v>414002</v>
      </c>
      <c r="AS81" s="527"/>
      <c r="AT81" s="563"/>
      <c r="AU81" s="473"/>
      <c r="AW81" s="464" t="s">
        <v>810</v>
      </c>
      <c r="AX81" s="468">
        <v>414002</v>
      </c>
      <c r="AY81" s="527"/>
      <c r="AZ81" s="563"/>
      <c r="BA81" s="473"/>
      <c r="BC81" s="464" t="s">
        <v>810</v>
      </c>
      <c r="BD81" s="468">
        <v>414002</v>
      </c>
      <c r="BE81" s="527"/>
      <c r="BF81" s="563"/>
      <c r="BG81" s="473"/>
      <c r="BI81" s="464" t="s">
        <v>810</v>
      </c>
      <c r="BJ81" s="468">
        <v>414002</v>
      </c>
      <c r="BK81" s="527"/>
      <c r="BL81" s="563"/>
      <c r="BM81" s="473"/>
      <c r="BO81" s="464" t="s">
        <v>810</v>
      </c>
      <c r="BP81" s="468">
        <v>414002</v>
      </c>
      <c r="BQ81" s="527"/>
      <c r="BR81" s="563"/>
      <c r="BS81" s="473"/>
    </row>
    <row r="82" spans="1:71" ht="24" customHeight="1" hidden="1">
      <c r="A82" s="464" t="s">
        <v>811</v>
      </c>
      <c r="B82" s="468">
        <v>414003</v>
      </c>
      <c r="C82" s="527"/>
      <c r="D82" s="543"/>
      <c r="E82" s="473"/>
      <c r="F82" s="466"/>
      <c r="G82" s="464" t="s">
        <v>811</v>
      </c>
      <c r="H82" s="468">
        <v>414003</v>
      </c>
      <c r="I82" s="527"/>
      <c r="J82" s="563"/>
      <c r="K82" s="473"/>
      <c r="M82" s="464" t="s">
        <v>811</v>
      </c>
      <c r="N82" s="468">
        <v>414003</v>
      </c>
      <c r="O82" s="527"/>
      <c r="P82" s="563"/>
      <c r="Q82" s="473"/>
      <c r="S82" s="464" t="s">
        <v>811</v>
      </c>
      <c r="T82" s="468">
        <v>414003</v>
      </c>
      <c r="U82" s="527"/>
      <c r="V82" s="563"/>
      <c r="W82" s="473"/>
      <c r="Y82" s="464" t="s">
        <v>811</v>
      </c>
      <c r="Z82" s="468">
        <v>414003</v>
      </c>
      <c r="AA82" s="527"/>
      <c r="AB82" s="563"/>
      <c r="AC82" s="473"/>
      <c r="AE82" s="464" t="s">
        <v>811</v>
      </c>
      <c r="AF82" s="468">
        <v>414003</v>
      </c>
      <c r="AG82" s="527"/>
      <c r="AH82" s="563"/>
      <c r="AI82" s="473"/>
      <c r="AK82" s="464" t="s">
        <v>811</v>
      </c>
      <c r="AL82" s="468">
        <v>414003</v>
      </c>
      <c r="AM82" s="527"/>
      <c r="AN82" s="563"/>
      <c r="AO82" s="473"/>
      <c r="AQ82" s="464" t="s">
        <v>811</v>
      </c>
      <c r="AR82" s="468">
        <v>414003</v>
      </c>
      <c r="AS82" s="527"/>
      <c r="AT82" s="563"/>
      <c r="AU82" s="473"/>
      <c r="AW82" s="464" t="s">
        <v>811</v>
      </c>
      <c r="AX82" s="468">
        <v>414003</v>
      </c>
      <c r="AY82" s="527"/>
      <c r="AZ82" s="563"/>
      <c r="BA82" s="473"/>
      <c r="BC82" s="464" t="s">
        <v>811</v>
      </c>
      <c r="BD82" s="468">
        <v>414003</v>
      </c>
      <c r="BE82" s="527"/>
      <c r="BF82" s="563"/>
      <c r="BG82" s="473"/>
      <c r="BI82" s="464" t="s">
        <v>811</v>
      </c>
      <c r="BJ82" s="468">
        <v>414003</v>
      </c>
      <c r="BK82" s="527"/>
      <c r="BL82" s="563"/>
      <c r="BM82" s="473"/>
      <c r="BO82" s="464" t="s">
        <v>811</v>
      </c>
      <c r="BP82" s="468">
        <v>414003</v>
      </c>
      <c r="BQ82" s="527"/>
      <c r="BR82" s="563"/>
      <c r="BS82" s="473"/>
    </row>
    <row r="83" spans="1:71" ht="24" customHeight="1" hidden="1">
      <c r="A83" s="464" t="s">
        <v>812</v>
      </c>
      <c r="B83" s="468">
        <v>414004</v>
      </c>
      <c r="C83" s="527"/>
      <c r="D83" s="543"/>
      <c r="E83" s="473"/>
      <c r="F83" s="466"/>
      <c r="G83" s="464" t="s">
        <v>812</v>
      </c>
      <c r="H83" s="468">
        <v>414004</v>
      </c>
      <c r="I83" s="527"/>
      <c r="J83" s="563"/>
      <c r="K83" s="473"/>
      <c r="M83" s="464" t="s">
        <v>812</v>
      </c>
      <c r="N83" s="468">
        <v>414004</v>
      </c>
      <c r="O83" s="527"/>
      <c r="P83" s="563"/>
      <c r="Q83" s="473"/>
      <c r="S83" s="464" t="s">
        <v>812</v>
      </c>
      <c r="T83" s="468">
        <v>414004</v>
      </c>
      <c r="U83" s="527"/>
      <c r="V83" s="563"/>
      <c r="W83" s="473"/>
      <c r="Y83" s="464" t="s">
        <v>812</v>
      </c>
      <c r="Z83" s="468">
        <v>414004</v>
      </c>
      <c r="AA83" s="527"/>
      <c r="AB83" s="563"/>
      <c r="AC83" s="473"/>
      <c r="AE83" s="464" t="s">
        <v>812</v>
      </c>
      <c r="AF83" s="468">
        <v>414004</v>
      </c>
      <c r="AG83" s="527"/>
      <c r="AH83" s="563"/>
      <c r="AI83" s="473"/>
      <c r="AK83" s="464" t="s">
        <v>812</v>
      </c>
      <c r="AL83" s="468">
        <v>414004</v>
      </c>
      <c r="AM83" s="527"/>
      <c r="AN83" s="563"/>
      <c r="AO83" s="473"/>
      <c r="AQ83" s="464" t="s">
        <v>812</v>
      </c>
      <c r="AR83" s="468">
        <v>414004</v>
      </c>
      <c r="AS83" s="527"/>
      <c r="AT83" s="563"/>
      <c r="AU83" s="473"/>
      <c r="AW83" s="464" t="s">
        <v>812</v>
      </c>
      <c r="AX83" s="468">
        <v>414004</v>
      </c>
      <c r="AY83" s="527"/>
      <c r="AZ83" s="563"/>
      <c r="BA83" s="473"/>
      <c r="BC83" s="464" t="s">
        <v>812</v>
      </c>
      <c r="BD83" s="468">
        <v>414004</v>
      </c>
      <c r="BE83" s="527"/>
      <c r="BF83" s="563"/>
      <c r="BG83" s="473"/>
      <c r="BI83" s="464" t="s">
        <v>812</v>
      </c>
      <c r="BJ83" s="468">
        <v>414004</v>
      </c>
      <c r="BK83" s="527"/>
      <c r="BL83" s="563"/>
      <c r="BM83" s="473"/>
      <c r="BO83" s="464" t="s">
        <v>812</v>
      </c>
      <c r="BP83" s="468">
        <v>414004</v>
      </c>
      <c r="BQ83" s="527"/>
      <c r="BR83" s="563"/>
      <c r="BS83" s="473"/>
    </row>
    <row r="84" spans="1:71" ht="24" customHeight="1" hidden="1">
      <c r="A84" s="464" t="s">
        <v>813</v>
      </c>
      <c r="B84" s="468">
        <v>414005</v>
      </c>
      <c r="C84" s="527"/>
      <c r="D84" s="543"/>
      <c r="E84" s="473"/>
      <c r="F84" s="466"/>
      <c r="G84" s="464" t="s">
        <v>813</v>
      </c>
      <c r="H84" s="468">
        <v>414005</v>
      </c>
      <c r="I84" s="527"/>
      <c r="J84" s="563"/>
      <c r="K84" s="473"/>
      <c r="M84" s="464" t="s">
        <v>813</v>
      </c>
      <c r="N84" s="468">
        <v>414005</v>
      </c>
      <c r="O84" s="527"/>
      <c r="P84" s="563"/>
      <c r="Q84" s="473"/>
      <c r="S84" s="464" t="s">
        <v>813</v>
      </c>
      <c r="T84" s="468">
        <v>414005</v>
      </c>
      <c r="U84" s="527"/>
      <c r="V84" s="563"/>
      <c r="W84" s="473"/>
      <c r="Y84" s="464" t="s">
        <v>813</v>
      </c>
      <c r="Z84" s="468">
        <v>414005</v>
      </c>
      <c r="AA84" s="527"/>
      <c r="AB84" s="563"/>
      <c r="AC84" s="473"/>
      <c r="AE84" s="464" t="s">
        <v>813</v>
      </c>
      <c r="AF84" s="468">
        <v>414005</v>
      </c>
      <c r="AG84" s="527"/>
      <c r="AH84" s="563"/>
      <c r="AI84" s="473"/>
      <c r="AK84" s="464" t="s">
        <v>813</v>
      </c>
      <c r="AL84" s="468">
        <v>414005</v>
      </c>
      <c r="AM84" s="527"/>
      <c r="AN84" s="563"/>
      <c r="AO84" s="473"/>
      <c r="AQ84" s="464" t="s">
        <v>813</v>
      </c>
      <c r="AR84" s="468">
        <v>414005</v>
      </c>
      <c r="AS84" s="527"/>
      <c r="AT84" s="563"/>
      <c r="AU84" s="473"/>
      <c r="AW84" s="464" t="s">
        <v>813</v>
      </c>
      <c r="AX84" s="468">
        <v>414005</v>
      </c>
      <c r="AY84" s="527"/>
      <c r="AZ84" s="563"/>
      <c r="BA84" s="473"/>
      <c r="BC84" s="464" t="s">
        <v>813</v>
      </c>
      <c r="BD84" s="468">
        <v>414005</v>
      </c>
      <c r="BE84" s="527"/>
      <c r="BF84" s="563"/>
      <c r="BG84" s="473"/>
      <c r="BI84" s="464" t="s">
        <v>813</v>
      </c>
      <c r="BJ84" s="468">
        <v>414005</v>
      </c>
      <c r="BK84" s="527"/>
      <c r="BL84" s="563"/>
      <c r="BM84" s="473"/>
      <c r="BO84" s="464" t="s">
        <v>813</v>
      </c>
      <c r="BP84" s="468">
        <v>414005</v>
      </c>
      <c r="BQ84" s="527"/>
      <c r="BR84" s="563"/>
      <c r="BS84" s="473"/>
    </row>
    <row r="85" spans="1:71" ht="24" customHeight="1" hidden="1">
      <c r="A85" s="464" t="s">
        <v>814</v>
      </c>
      <c r="B85" s="468">
        <v>414006</v>
      </c>
      <c r="C85" s="527"/>
      <c r="D85" s="487"/>
      <c r="E85" s="473"/>
      <c r="F85" s="466"/>
      <c r="G85" s="464" t="s">
        <v>814</v>
      </c>
      <c r="H85" s="468">
        <v>414006</v>
      </c>
      <c r="I85" s="527"/>
      <c r="J85" s="566"/>
      <c r="K85" s="473"/>
      <c r="M85" s="464" t="s">
        <v>814</v>
      </c>
      <c r="N85" s="468">
        <v>414006</v>
      </c>
      <c r="O85" s="527"/>
      <c r="P85" s="566"/>
      <c r="Q85" s="473"/>
      <c r="S85" s="464" t="s">
        <v>814</v>
      </c>
      <c r="T85" s="468">
        <v>414006</v>
      </c>
      <c r="U85" s="527"/>
      <c r="V85" s="566"/>
      <c r="W85" s="473"/>
      <c r="Y85" s="464" t="s">
        <v>814</v>
      </c>
      <c r="Z85" s="468">
        <v>414006</v>
      </c>
      <c r="AA85" s="527"/>
      <c r="AB85" s="566"/>
      <c r="AC85" s="473"/>
      <c r="AE85" s="464" t="s">
        <v>814</v>
      </c>
      <c r="AF85" s="468">
        <v>414006</v>
      </c>
      <c r="AG85" s="527"/>
      <c r="AH85" s="566"/>
      <c r="AI85" s="473"/>
      <c r="AK85" s="464" t="s">
        <v>814</v>
      </c>
      <c r="AL85" s="468">
        <v>414006</v>
      </c>
      <c r="AM85" s="527"/>
      <c r="AN85" s="566"/>
      <c r="AO85" s="473"/>
      <c r="AQ85" s="464" t="s">
        <v>814</v>
      </c>
      <c r="AR85" s="468">
        <v>414006</v>
      </c>
      <c r="AS85" s="527"/>
      <c r="AT85" s="566"/>
      <c r="AU85" s="473"/>
      <c r="AW85" s="464" t="s">
        <v>814</v>
      </c>
      <c r="AX85" s="468">
        <v>414006</v>
      </c>
      <c r="AY85" s="527"/>
      <c r="AZ85" s="566"/>
      <c r="BA85" s="473"/>
      <c r="BC85" s="464" t="s">
        <v>814</v>
      </c>
      <c r="BD85" s="468">
        <v>414006</v>
      </c>
      <c r="BE85" s="527"/>
      <c r="BF85" s="566"/>
      <c r="BG85" s="473"/>
      <c r="BI85" s="464" t="s">
        <v>814</v>
      </c>
      <c r="BJ85" s="468">
        <v>414006</v>
      </c>
      <c r="BK85" s="527"/>
      <c r="BL85" s="566"/>
      <c r="BM85" s="473"/>
      <c r="BO85" s="464" t="s">
        <v>814</v>
      </c>
      <c r="BP85" s="468">
        <v>414006</v>
      </c>
      <c r="BQ85" s="527"/>
      <c r="BR85" s="566"/>
      <c r="BS85" s="473"/>
    </row>
    <row r="86" spans="1:71" ht="24" customHeight="1" hidden="1">
      <c r="A86" s="464" t="s">
        <v>815</v>
      </c>
      <c r="B86" s="513">
        <v>414999</v>
      </c>
      <c r="C86" s="527"/>
      <c r="D86" s="543"/>
      <c r="E86" s="473"/>
      <c r="F86" s="466"/>
      <c r="G86" s="464" t="s">
        <v>815</v>
      </c>
      <c r="H86" s="513">
        <v>414999</v>
      </c>
      <c r="I86" s="527"/>
      <c r="J86" s="563"/>
      <c r="K86" s="473"/>
      <c r="M86" s="464" t="s">
        <v>815</v>
      </c>
      <c r="N86" s="513">
        <v>414999</v>
      </c>
      <c r="O86" s="527"/>
      <c r="P86" s="563"/>
      <c r="Q86" s="473"/>
      <c r="S86" s="464" t="s">
        <v>815</v>
      </c>
      <c r="T86" s="513">
        <v>414999</v>
      </c>
      <c r="U86" s="527"/>
      <c r="V86" s="563"/>
      <c r="W86" s="473"/>
      <c r="Y86" s="464" t="s">
        <v>815</v>
      </c>
      <c r="Z86" s="513">
        <v>414999</v>
      </c>
      <c r="AA86" s="527"/>
      <c r="AB86" s="563"/>
      <c r="AC86" s="473"/>
      <c r="AE86" s="464" t="s">
        <v>815</v>
      </c>
      <c r="AF86" s="513">
        <v>414999</v>
      </c>
      <c r="AG86" s="527"/>
      <c r="AH86" s="563"/>
      <c r="AI86" s="473"/>
      <c r="AK86" s="464" t="s">
        <v>815</v>
      </c>
      <c r="AL86" s="513">
        <v>414999</v>
      </c>
      <c r="AM86" s="527"/>
      <c r="AN86" s="563"/>
      <c r="AO86" s="473"/>
      <c r="AQ86" s="464" t="s">
        <v>815</v>
      </c>
      <c r="AR86" s="513">
        <v>414999</v>
      </c>
      <c r="AS86" s="527"/>
      <c r="AT86" s="563"/>
      <c r="AU86" s="473"/>
      <c r="AW86" s="464" t="s">
        <v>815</v>
      </c>
      <c r="AX86" s="513">
        <v>414999</v>
      </c>
      <c r="AY86" s="527"/>
      <c r="AZ86" s="563"/>
      <c r="BA86" s="473"/>
      <c r="BC86" s="464" t="s">
        <v>815</v>
      </c>
      <c r="BD86" s="513">
        <v>414999</v>
      </c>
      <c r="BE86" s="527"/>
      <c r="BF86" s="563"/>
      <c r="BG86" s="473"/>
      <c r="BI86" s="464" t="s">
        <v>815</v>
      </c>
      <c r="BJ86" s="513">
        <v>414999</v>
      </c>
      <c r="BK86" s="527"/>
      <c r="BL86" s="563"/>
      <c r="BM86" s="473"/>
      <c r="BO86" s="464" t="s">
        <v>815</v>
      </c>
      <c r="BP86" s="513">
        <v>414999</v>
      </c>
      <c r="BQ86" s="527"/>
      <c r="BR86" s="563"/>
      <c r="BS86" s="473"/>
    </row>
    <row r="87" spans="1:71" ht="24">
      <c r="A87" s="467" t="s">
        <v>431</v>
      </c>
      <c r="B87" s="468">
        <v>415000</v>
      </c>
      <c r="C87" s="536">
        <v>230000</v>
      </c>
      <c r="D87" s="543"/>
      <c r="E87" s="473">
        <f>+D87</f>
        <v>0</v>
      </c>
      <c r="F87" s="466"/>
      <c r="G87" s="467" t="s">
        <v>431</v>
      </c>
      <c r="H87" s="468">
        <v>415000</v>
      </c>
      <c r="I87" s="536">
        <v>230000</v>
      </c>
      <c r="J87" s="563"/>
      <c r="K87" s="473">
        <f>+J87</f>
        <v>0</v>
      </c>
      <c r="M87" s="467" t="s">
        <v>431</v>
      </c>
      <c r="N87" s="468">
        <v>415000</v>
      </c>
      <c r="O87" s="536">
        <v>230000</v>
      </c>
      <c r="P87" s="563"/>
      <c r="Q87" s="473"/>
      <c r="S87" s="467" t="s">
        <v>431</v>
      </c>
      <c r="T87" s="468">
        <v>415000</v>
      </c>
      <c r="U87" s="536">
        <v>230000</v>
      </c>
      <c r="V87" s="563"/>
      <c r="W87" s="473"/>
      <c r="Y87" s="467" t="s">
        <v>431</v>
      </c>
      <c r="Z87" s="468">
        <v>415000</v>
      </c>
      <c r="AA87" s="536">
        <v>230000</v>
      </c>
      <c r="AB87" s="563"/>
      <c r="AC87" s="473"/>
      <c r="AE87" s="467" t="s">
        <v>431</v>
      </c>
      <c r="AF87" s="468">
        <v>415000</v>
      </c>
      <c r="AG87" s="536">
        <v>230000</v>
      </c>
      <c r="AH87" s="563"/>
      <c r="AI87" s="473"/>
      <c r="AK87" s="467" t="s">
        <v>431</v>
      </c>
      <c r="AL87" s="468">
        <v>415000</v>
      </c>
      <c r="AM87" s="536">
        <v>230000</v>
      </c>
      <c r="AN87" s="563"/>
      <c r="AO87" s="473"/>
      <c r="AQ87" s="467" t="s">
        <v>431</v>
      </c>
      <c r="AR87" s="468">
        <v>415000</v>
      </c>
      <c r="AS87" s="536">
        <v>230000</v>
      </c>
      <c r="AT87" s="563"/>
      <c r="AU87" s="473"/>
      <c r="AW87" s="467" t="s">
        <v>431</v>
      </c>
      <c r="AX87" s="468">
        <v>415000</v>
      </c>
      <c r="AY87" s="536">
        <v>230000</v>
      </c>
      <c r="AZ87" s="563"/>
      <c r="BA87" s="473"/>
      <c r="BC87" s="467" t="s">
        <v>431</v>
      </c>
      <c r="BD87" s="468">
        <v>415000</v>
      </c>
      <c r="BE87" s="536">
        <v>230000</v>
      </c>
      <c r="BF87" s="563"/>
      <c r="BG87" s="473"/>
      <c r="BI87" s="467" t="s">
        <v>431</v>
      </c>
      <c r="BJ87" s="468">
        <v>415000</v>
      </c>
      <c r="BK87" s="536">
        <v>230000</v>
      </c>
      <c r="BL87" s="563"/>
      <c r="BM87" s="473"/>
      <c r="BO87" s="467" t="s">
        <v>431</v>
      </c>
      <c r="BP87" s="468">
        <v>415000</v>
      </c>
      <c r="BQ87" s="536">
        <v>230000</v>
      </c>
      <c r="BR87" s="563"/>
      <c r="BS87" s="473"/>
    </row>
    <row r="88" spans="1:71" ht="24" customHeight="1" hidden="1">
      <c r="A88" s="464" t="s">
        <v>817</v>
      </c>
      <c r="B88" s="468">
        <v>415001</v>
      </c>
      <c r="C88" s="527"/>
      <c r="D88" s="543"/>
      <c r="E88" s="473">
        <f>+D88</f>
        <v>0</v>
      </c>
      <c r="F88" s="466"/>
      <c r="G88" s="464" t="s">
        <v>817</v>
      </c>
      <c r="H88" s="468">
        <v>415001</v>
      </c>
      <c r="I88" s="527"/>
      <c r="J88" s="563"/>
      <c r="K88" s="473">
        <f>+J88</f>
        <v>0</v>
      </c>
      <c r="M88" s="464" t="s">
        <v>817</v>
      </c>
      <c r="N88" s="468">
        <v>415001</v>
      </c>
      <c r="O88" s="527"/>
      <c r="P88" s="563"/>
      <c r="Q88" s="473">
        <f>+P88</f>
        <v>0</v>
      </c>
      <c r="S88" s="464" t="s">
        <v>817</v>
      </c>
      <c r="T88" s="468">
        <v>415001</v>
      </c>
      <c r="U88" s="527"/>
      <c r="V88" s="563"/>
      <c r="W88" s="473">
        <f>+V88</f>
        <v>0</v>
      </c>
      <c r="Y88" s="464" t="s">
        <v>817</v>
      </c>
      <c r="Z88" s="468">
        <v>415001</v>
      </c>
      <c r="AA88" s="527"/>
      <c r="AB88" s="563"/>
      <c r="AC88" s="473">
        <f>+AB88</f>
        <v>0</v>
      </c>
      <c r="AE88" s="464" t="s">
        <v>817</v>
      </c>
      <c r="AF88" s="468">
        <v>415001</v>
      </c>
      <c r="AG88" s="527"/>
      <c r="AH88" s="563"/>
      <c r="AI88" s="473">
        <f>+AH88</f>
        <v>0</v>
      </c>
      <c r="AK88" s="464" t="s">
        <v>817</v>
      </c>
      <c r="AL88" s="468">
        <v>415001</v>
      </c>
      <c r="AM88" s="527"/>
      <c r="AN88" s="563"/>
      <c r="AO88" s="473">
        <f>+AN88</f>
        <v>0</v>
      </c>
      <c r="AQ88" s="464" t="s">
        <v>817</v>
      </c>
      <c r="AR88" s="468">
        <v>415001</v>
      </c>
      <c r="AS88" s="527"/>
      <c r="AT88" s="563"/>
      <c r="AU88" s="473">
        <f>+AT88</f>
        <v>0</v>
      </c>
      <c r="AW88" s="464" t="s">
        <v>817</v>
      </c>
      <c r="AX88" s="468">
        <v>415001</v>
      </c>
      <c r="AY88" s="527"/>
      <c r="AZ88" s="563"/>
      <c r="BA88" s="473">
        <f>+AZ88</f>
        <v>0</v>
      </c>
      <c r="BC88" s="464" t="s">
        <v>817</v>
      </c>
      <c r="BD88" s="468">
        <v>415001</v>
      </c>
      <c r="BE88" s="527"/>
      <c r="BF88" s="563"/>
      <c r="BG88" s="473">
        <f>+BF88</f>
        <v>0</v>
      </c>
      <c r="BI88" s="464" t="s">
        <v>817</v>
      </c>
      <c r="BJ88" s="468">
        <v>415001</v>
      </c>
      <c r="BK88" s="527"/>
      <c r="BL88" s="563"/>
      <c r="BM88" s="473">
        <f>+BL88</f>
        <v>0</v>
      </c>
      <c r="BO88" s="464" t="s">
        <v>817</v>
      </c>
      <c r="BP88" s="468">
        <v>415001</v>
      </c>
      <c r="BQ88" s="527"/>
      <c r="BR88" s="563"/>
      <c r="BS88" s="473">
        <f>+BR88</f>
        <v>0</v>
      </c>
    </row>
    <row r="89" spans="1:71" ht="24" customHeight="1" hidden="1">
      <c r="A89" s="464" t="s">
        <v>818</v>
      </c>
      <c r="B89" s="468">
        <v>415002</v>
      </c>
      <c r="C89" s="527"/>
      <c r="D89" s="543"/>
      <c r="E89" s="473">
        <f>+D89</f>
        <v>0</v>
      </c>
      <c r="F89" s="466"/>
      <c r="G89" s="464" t="s">
        <v>818</v>
      </c>
      <c r="H89" s="468">
        <v>415002</v>
      </c>
      <c r="I89" s="527"/>
      <c r="J89" s="563"/>
      <c r="K89" s="473">
        <f>+J89</f>
        <v>0</v>
      </c>
      <c r="M89" s="464" t="s">
        <v>818</v>
      </c>
      <c r="N89" s="468">
        <v>415002</v>
      </c>
      <c r="O89" s="527"/>
      <c r="P89" s="563"/>
      <c r="Q89" s="473">
        <f>+P89</f>
        <v>0</v>
      </c>
      <c r="S89" s="464" t="s">
        <v>818</v>
      </c>
      <c r="T89" s="468">
        <v>415002</v>
      </c>
      <c r="U89" s="527"/>
      <c r="V89" s="563"/>
      <c r="W89" s="473">
        <f>+V89</f>
        <v>0</v>
      </c>
      <c r="Y89" s="464" t="s">
        <v>818</v>
      </c>
      <c r="Z89" s="468">
        <v>415002</v>
      </c>
      <c r="AA89" s="527"/>
      <c r="AB89" s="563"/>
      <c r="AC89" s="473">
        <f>+AB89</f>
        <v>0</v>
      </c>
      <c r="AE89" s="464" t="s">
        <v>818</v>
      </c>
      <c r="AF89" s="468">
        <v>415002</v>
      </c>
      <c r="AG89" s="527"/>
      <c r="AH89" s="563"/>
      <c r="AI89" s="473">
        <f>+AH89</f>
        <v>0</v>
      </c>
      <c r="AK89" s="464" t="s">
        <v>818</v>
      </c>
      <c r="AL89" s="468">
        <v>415002</v>
      </c>
      <c r="AM89" s="527"/>
      <c r="AN89" s="563"/>
      <c r="AO89" s="473">
        <f>+AN89</f>
        <v>0</v>
      </c>
      <c r="AQ89" s="464" t="s">
        <v>818</v>
      </c>
      <c r="AR89" s="468">
        <v>415002</v>
      </c>
      <c r="AS89" s="527"/>
      <c r="AT89" s="563"/>
      <c r="AU89" s="473">
        <f>+AT89</f>
        <v>0</v>
      </c>
      <c r="AW89" s="464" t="s">
        <v>818</v>
      </c>
      <c r="AX89" s="468">
        <v>415002</v>
      </c>
      <c r="AY89" s="527"/>
      <c r="AZ89" s="563"/>
      <c r="BA89" s="473">
        <f>+AZ89</f>
        <v>0</v>
      </c>
      <c r="BC89" s="464" t="s">
        <v>818</v>
      </c>
      <c r="BD89" s="468">
        <v>415002</v>
      </c>
      <c r="BE89" s="527"/>
      <c r="BF89" s="563"/>
      <c r="BG89" s="473">
        <f>+BF89</f>
        <v>0</v>
      </c>
      <c r="BI89" s="464" t="s">
        <v>818</v>
      </c>
      <c r="BJ89" s="468">
        <v>415002</v>
      </c>
      <c r="BK89" s="527"/>
      <c r="BL89" s="563"/>
      <c r="BM89" s="473">
        <f>+BL89</f>
        <v>0</v>
      </c>
      <c r="BO89" s="464" t="s">
        <v>818</v>
      </c>
      <c r="BP89" s="468">
        <v>415002</v>
      </c>
      <c r="BQ89" s="527"/>
      <c r="BR89" s="563"/>
      <c r="BS89" s="473">
        <f>+BR89</f>
        <v>0</v>
      </c>
    </row>
    <row r="90" spans="1:71" ht="24" customHeight="1" hidden="1">
      <c r="A90" s="464" t="s">
        <v>819</v>
      </c>
      <c r="B90" s="468">
        <v>415003</v>
      </c>
      <c r="C90" s="527"/>
      <c r="D90" s="543"/>
      <c r="E90" s="473">
        <f>+D90</f>
        <v>0</v>
      </c>
      <c r="F90" s="466"/>
      <c r="G90" s="464" t="s">
        <v>819</v>
      </c>
      <c r="H90" s="468">
        <v>415003</v>
      </c>
      <c r="I90" s="527"/>
      <c r="J90" s="563"/>
      <c r="K90" s="473">
        <f>+J90</f>
        <v>0</v>
      </c>
      <c r="M90" s="464" t="s">
        <v>819</v>
      </c>
      <c r="N90" s="468">
        <v>415003</v>
      </c>
      <c r="O90" s="527"/>
      <c r="P90" s="563"/>
      <c r="Q90" s="473">
        <f>+P90</f>
        <v>0</v>
      </c>
      <c r="S90" s="464" t="s">
        <v>819</v>
      </c>
      <c r="T90" s="468">
        <v>415003</v>
      </c>
      <c r="U90" s="527"/>
      <c r="V90" s="563"/>
      <c r="W90" s="473">
        <f>+V90</f>
        <v>0</v>
      </c>
      <c r="Y90" s="464" t="s">
        <v>819</v>
      </c>
      <c r="Z90" s="468">
        <v>415003</v>
      </c>
      <c r="AA90" s="527"/>
      <c r="AB90" s="563"/>
      <c r="AC90" s="473">
        <f>+AB90</f>
        <v>0</v>
      </c>
      <c r="AE90" s="464" t="s">
        <v>819</v>
      </c>
      <c r="AF90" s="468">
        <v>415003</v>
      </c>
      <c r="AG90" s="527"/>
      <c r="AH90" s="563"/>
      <c r="AI90" s="473">
        <f>+AH90</f>
        <v>0</v>
      </c>
      <c r="AK90" s="464" t="s">
        <v>819</v>
      </c>
      <c r="AL90" s="468">
        <v>415003</v>
      </c>
      <c r="AM90" s="527"/>
      <c r="AN90" s="563"/>
      <c r="AO90" s="473">
        <f>+AN90</f>
        <v>0</v>
      </c>
      <c r="AQ90" s="464" t="s">
        <v>819</v>
      </c>
      <c r="AR90" s="468">
        <v>415003</v>
      </c>
      <c r="AS90" s="527"/>
      <c r="AT90" s="563"/>
      <c r="AU90" s="473">
        <f>+AT90</f>
        <v>0</v>
      </c>
      <c r="AW90" s="464" t="s">
        <v>819</v>
      </c>
      <c r="AX90" s="468">
        <v>415003</v>
      </c>
      <c r="AY90" s="527"/>
      <c r="AZ90" s="563"/>
      <c r="BA90" s="473">
        <f>+AZ90</f>
        <v>0</v>
      </c>
      <c r="BC90" s="464" t="s">
        <v>819</v>
      </c>
      <c r="BD90" s="468">
        <v>415003</v>
      </c>
      <c r="BE90" s="527"/>
      <c r="BF90" s="563"/>
      <c r="BG90" s="473">
        <f>+BF90</f>
        <v>0</v>
      </c>
      <c r="BI90" s="464" t="s">
        <v>819</v>
      </c>
      <c r="BJ90" s="468">
        <v>415003</v>
      </c>
      <c r="BK90" s="527"/>
      <c r="BL90" s="563"/>
      <c r="BM90" s="473">
        <f>+BL90</f>
        <v>0</v>
      </c>
      <c r="BO90" s="464" t="s">
        <v>819</v>
      </c>
      <c r="BP90" s="468">
        <v>415003</v>
      </c>
      <c r="BQ90" s="527"/>
      <c r="BR90" s="563"/>
      <c r="BS90" s="473">
        <f>+BR90</f>
        <v>0</v>
      </c>
    </row>
    <row r="91" spans="1:71" ht="24">
      <c r="A91" s="464" t="s">
        <v>820</v>
      </c>
      <c r="B91" s="468">
        <v>415004</v>
      </c>
      <c r="C91" s="527">
        <v>200000</v>
      </c>
      <c r="D91" s="618">
        <v>31700</v>
      </c>
      <c r="E91" s="473">
        <f>+D91</f>
        <v>31700</v>
      </c>
      <c r="F91" s="466"/>
      <c r="G91" s="464" t="s">
        <v>820</v>
      </c>
      <c r="H91" s="468">
        <v>415004</v>
      </c>
      <c r="I91" s="527">
        <v>200000</v>
      </c>
      <c r="J91" s="564"/>
      <c r="K91" s="473">
        <f aca="true" t="shared" si="12" ref="K91:K96">+D91+J91</f>
        <v>31700</v>
      </c>
      <c r="M91" s="464" t="s">
        <v>820</v>
      </c>
      <c r="N91" s="468">
        <v>415004</v>
      </c>
      <c r="O91" s="527">
        <v>200000</v>
      </c>
      <c r="P91" s="564">
        <v>10000</v>
      </c>
      <c r="Q91" s="473">
        <f aca="true" t="shared" si="13" ref="Q91:Q96">+D91+J91+P91</f>
        <v>41700</v>
      </c>
      <c r="S91" s="464" t="s">
        <v>820</v>
      </c>
      <c r="T91" s="468">
        <v>415004</v>
      </c>
      <c r="U91" s="527">
        <v>200000</v>
      </c>
      <c r="V91" s="564"/>
      <c r="W91" s="473">
        <f aca="true" t="shared" si="14" ref="W91:W96">+D91+J91+P91+V91</f>
        <v>41700</v>
      </c>
      <c r="Y91" s="464" t="s">
        <v>820</v>
      </c>
      <c r="Z91" s="468">
        <v>415004</v>
      </c>
      <c r="AA91" s="527">
        <v>200000</v>
      </c>
      <c r="AB91" s="564">
        <f>26000+1400</f>
        <v>27400</v>
      </c>
      <c r="AC91" s="473">
        <f aca="true" t="shared" si="15" ref="AC91:AC96">+J91+P91+V91+AB91+D91</f>
        <v>69100</v>
      </c>
      <c r="AE91" s="464" t="s">
        <v>820</v>
      </c>
      <c r="AF91" s="468">
        <v>415004</v>
      </c>
      <c r="AG91" s="527">
        <v>200000</v>
      </c>
      <c r="AH91" s="564"/>
      <c r="AI91" s="473">
        <f aca="true" t="shared" si="16" ref="AI91:AI96">+P91+V91+AB91+AH91+J91+D91</f>
        <v>69100</v>
      </c>
      <c r="AK91" s="464" t="s">
        <v>820</v>
      </c>
      <c r="AL91" s="468">
        <v>415004</v>
      </c>
      <c r="AM91" s="527">
        <v>200000</v>
      </c>
      <c r="AN91" s="564"/>
      <c r="AO91" s="473">
        <f aca="true" t="shared" si="17" ref="AO91:AO96">+V91+AB91+AH91+AN91+P91+J91+D91</f>
        <v>69100</v>
      </c>
      <c r="AQ91" s="464" t="s">
        <v>820</v>
      </c>
      <c r="AR91" s="468">
        <v>415004</v>
      </c>
      <c r="AS91" s="527">
        <v>200000</v>
      </c>
      <c r="AT91" s="564">
        <v>40700</v>
      </c>
      <c r="AU91" s="473">
        <f aca="true" t="shared" si="18" ref="AU91:AU96">+AB91+AH91+AN91+AT91+V91+P91+J91+D91</f>
        <v>109800</v>
      </c>
      <c r="AW91" s="464" t="s">
        <v>820</v>
      </c>
      <c r="AX91" s="468">
        <v>415004</v>
      </c>
      <c r="AY91" s="527">
        <v>200000</v>
      </c>
      <c r="AZ91" s="564">
        <v>6600</v>
      </c>
      <c r="BA91" s="473">
        <f aca="true" t="shared" si="19" ref="BA91:BA96">+AH91+AN91+AT91+AZ91+AB91+V91+P91+J91+D91</f>
        <v>116400</v>
      </c>
      <c r="BC91" s="464" t="s">
        <v>820</v>
      </c>
      <c r="BD91" s="468">
        <v>415004</v>
      </c>
      <c r="BE91" s="527">
        <v>200000</v>
      </c>
      <c r="BF91" s="564">
        <v>30600</v>
      </c>
      <c r="BG91" s="619">
        <f aca="true" t="shared" si="20" ref="BG91:BG96">+AN91+AT91+AZ91+BF91+AH91+AB91+V91+P91+J91+D91</f>
        <v>147000</v>
      </c>
      <c r="BI91" s="464" t="s">
        <v>820</v>
      </c>
      <c r="BJ91" s="468">
        <v>415004</v>
      </c>
      <c r="BK91" s="527">
        <v>200000</v>
      </c>
      <c r="BL91" s="564">
        <v>5100</v>
      </c>
      <c r="BM91" s="473">
        <f aca="true" t="shared" si="21" ref="BM91:BM96">+AT91+AZ91+BF91+BL91+AN91+AH91+AB91+V91+P91+J91+D91</f>
        <v>152100</v>
      </c>
      <c r="BO91" s="464" t="s">
        <v>820</v>
      </c>
      <c r="BP91" s="468">
        <v>415004</v>
      </c>
      <c r="BQ91" s="527">
        <v>200000</v>
      </c>
      <c r="BR91" s="564"/>
      <c r="BS91" s="473">
        <f aca="true" t="shared" si="22" ref="BS91:BS96">+AZ91+BF91+BL91+BR91+AT91+AN91+AH91+AB91+V91+P91+J91+D91</f>
        <v>152100</v>
      </c>
    </row>
    <row r="92" spans="1:71" ht="24" customHeight="1" hidden="1">
      <c r="A92" s="464" t="s">
        <v>821</v>
      </c>
      <c r="B92" s="468">
        <v>415005</v>
      </c>
      <c r="C92" s="527"/>
      <c r="D92" s="543"/>
      <c r="E92" s="473"/>
      <c r="F92" s="466"/>
      <c r="G92" s="464" t="s">
        <v>821</v>
      </c>
      <c r="H92" s="468">
        <v>415005</v>
      </c>
      <c r="I92" s="527"/>
      <c r="J92" s="563"/>
      <c r="K92" s="473">
        <f t="shared" si="12"/>
        <v>0</v>
      </c>
      <c r="M92" s="464" t="s">
        <v>821</v>
      </c>
      <c r="N92" s="468">
        <v>415005</v>
      </c>
      <c r="O92" s="527"/>
      <c r="P92" s="563"/>
      <c r="Q92" s="473">
        <f t="shared" si="13"/>
        <v>0</v>
      </c>
      <c r="S92" s="464" t="s">
        <v>821</v>
      </c>
      <c r="T92" s="468">
        <v>415005</v>
      </c>
      <c r="U92" s="527"/>
      <c r="V92" s="563"/>
      <c r="W92" s="473">
        <f t="shared" si="14"/>
        <v>0</v>
      </c>
      <c r="Y92" s="464" t="s">
        <v>821</v>
      </c>
      <c r="Z92" s="468">
        <v>415005</v>
      </c>
      <c r="AA92" s="527"/>
      <c r="AB92" s="563"/>
      <c r="AC92" s="473">
        <f t="shared" si="15"/>
        <v>0</v>
      </c>
      <c r="AE92" s="464" t="s">
        <v>821</v>
      </c>
      <c r="AF92" s="468">
        <v>415005</v>
      </c>
      <c r="AG92" s="527"/>
      <c r="AH92" s="563"/>
      <c r="AI92" s="473">
        <f t="shared" si="16"/>
        <v>0</v>
      </c>
      <c r="AK92" s="464" t="s">
        <v>821</v>
      </c>
      <c r="AL92" s="468">
        <v>415005</v>
      </c>
      <c r="AM92" s="527"/>
      <c r="AN92" s="563"/>
      <c r="AO92" s="473">
        <f t="shared" si="17"/>
        <v>0</v>
      </c>
      <c r="AQ92" s="464" t="s">
        <v>821</v>
      </c>
      <c r="AR92" s="468">
        <v>415005</v>
      </c>
      <c r="AS92" s="527"/>
      <c r="AT92" s="563"/>
      <c r="AU92" s="473">
        <f t="shared" si="18"/>
        <v>0</v>
      </c>
      <c r="AW92" s="464" t="s">
        <v>821</v>
      </c>
      <c r="AX92" s="468">
        <v>415005</v>
      </c>
      <c r="AY92" s="527"/>
      <c r="AZ92" s="563"/>
      <c r="BA92" s="473">
        <f t="shared" si="19"/>
        <v>0</v>
      </c>
      <c r="BC92" s="464" t="s">
        <v>821</v>
      </c>
      <c r="BD92" s="468">
        <v>415005</v>
      </c>
      <c r="BE92" s="527"/>
      <c r="BF92" s="563"/>
      <c r="BG92" s="473">
        <f t="shared" si="20"/>
        <v>0</v>
      </c>
      <c r="BI92" s="464" t="s">
        <v>821</v>
      </c>
      <c r="BJ92" s="468">
        <v>415005</v>
      </c>
      <c r="BK92" s="527"/>
      <c r="BL92" s="563"/>
      <c r="BM92" s="473">
        <f t="shared" si="21"/>
        <v>0</v>
      </c>
      <c r="BO92" s="464" t="s">
        <v>821</v>
      </c>
      <c r="BP92" s="468">
        <v>415005</v>
      </c>
      <c r="BQ92" s="527"/>
      <c r="BR92" s="563"/>
      <c r="BS92" s="473">
        <f t="shared" si="22"/>
        <v>0</v>
      </c>
    </row>
    <row r="93" spans="1:71" ht="24" customHeight="1" hidden="1">
      <c r="A93" s="480" t="s">
        <v>822</v>
      </c>
      <c r="B93" s="481">
        <v>415006</v>
      </c>
      <c r="C93" s="529"/>
      <c r="D93" s="546"/>
      <c r="E93" s="551"/>
      <c r="F93" s="466"/>
      <c r="G93" s="480" t="s">
        <v>822</v>
      </c>
      <c r="H93" s="481">
        <v>415006</v>
      </c>
      <c r="I93" s="529"/>
      <c r="J93" s="571"/>
      <c r="K93" s="473">
        <f t="shared" si="12"/>
        <v>0</v>
      </c>
      <c r="M93" s="480" t="s">
        <v>822</v>
      </c>
      <c r="N93" s="481">
        <v>415006</v>
      </c>
      <c r="O93" s="529"/>
      <c r="P93" s="571"/>
      <c r="Q93" s="473">
        <f t="shared" si="13"/>
        <v>0</v>
      </c>
      <c r="S93" s="480" t="s">
        <v>822</v>
      </c>
      <c r="T93" s="481">
        <v>415006</v>
      </c>
      <c r="U93" s="529"/>
      <c r="V93" s="571"/>
      <c r="W93" s="473">
        <f t="shared" si="14"/>
        <v>0</v>
      </c>
      <c r="Y93" s="480" t="s">
        <v>822</v>
      </c>
      <c r="Z93" s="481">
        <v>415006</v>
      </c>
      <c r="AA93" s="529"/>
      <c r="AB93" s="571"/>
      <c r="AC93" s="473">
        <f t="shared" si="15"/>
        <v>0</v>
      </c>
      <c r="AE93" s="480" t="s">
        <v>822</v>
      </c>
      <c r="AF93" s="481">
        <v>415006</v>
      </c>
      <c r="AG93" s="529"/>
      <c r="AH93" s="571"/>
      <c r="AI93" s="473">
        <f t="shared" si="16"/>
        <v>0</v>
      </c>
      <c r="AK93" s="480" t="s">
        <v>822</v>
      </c>
      <c r="AL93" s="481">
        <v>415006</v>
      </c>
      <c r="AM93" s="529"/>
      <c r="AN93" s="571"/>
      <c r="AO93" s="473">
        <f t="shared" si="17"/>
        <v>0</v>
      </c>
      <c r="AQ93" s="480" t="s">
        <v>822</v>
      </c>
      <c r="AR93" s="481">
        <v>415006</v>
      </c>
      <c r="AS93" s="529"/>
      <c r="AT93" s="571"/>
      <c r="AU93" s="473">
        <f t="shared" si="18"/>
        <v>0</v>
      </c>
      <c r="AW93" s="480" t="s">
        <v>822</v>
      </c>
      <c r="AX93" s="481">
        <v>415006</v>
      </c>
      <c r="AY93" s="529"/>
      <c r="AZ93" s="571"/>
      <c r="BA93" s="473">
        <f t="shared" si="19"/>
        <v>0</v>
      </c>
      <c r="BC93" s="480" t="s">
        <v>822</v>
      </c>
      <c r="BD93" s="481">
        <v>415006</v>
      </c>
      <c r="BE93" s="529"/>
      <c r="BF93" s="571"/>
      <c r="BG93" s="473">
        <f t="shared" si="20"/>
        <v>0</v>
      </c>
      <c r="BI93" s="480" t="s">
        <v>822</v>
      </c>
      <c r="BJ93" s="481">
        <v>415006</v>
      </c>
      <c r="BK93" s="529"/>
      <c r="BL93" s="571"/>
      <c r="BM93" s="473">
        <f t="shared" si="21"/>
        <v>0</v>
      </c>
      <c r="BO93" s="480" t="s">
        <v>822</v>
      </c>
      <c r="BP93" s="481">
        <v>415006</v>
      </c>
      <c r="BQ93" s="529"/>
      <c r="BR93" s="571"/>
      <c r="BS93" s="473">
        <f t="shared" si="22"/>
        <v>0</v>
      </c>
    </row>
    <row r="94" spans="1:71" ht="24" customHeight="1" hidden="1">
      <c r="A94" s="464" t="s">
        <v>823</v>
      </c>
      <c r="B94" s="468">
        <v>415007</v>
      </c>
      <c r="C94" s="527"/>
      <c r="D94" s="543"/>
      <c r="E94" s="473"/>
      <c r="F94" s="466"/>
      <c r="G94" s="464" t="s">
        <v>823</v>
      </c>
      <c r="H94" s="468">
        <v>415007</v>
      </c>
      <c r="I94" s="527"/>
      <c r="J94" s="563"/>
      <c r="K94" s="473">
        <f t="shared" si="12"/>
        <v>0</v>
      </c>
      <c r="M94" s="464" t="s">
        <v>823</v>
      </c>
      <c r="N94" s="468">
        <v>415007</v>
      </c>
      <c r="O94" s="527"/>
      <c r="P94" s="563"/>
      <c r="Q94" s="473">
        <f t="shared" si="13"/>
        <v>0</v>
      </c>
      <c r="S94" s="464" t="s">
        <v>823</v>
      </c>
      <c r="T94" s="468">
        <v>415007</v>
      </c>
      <c r="U94" s="527"/>
      <c r="V94" s="563"/>
      <c r="W94" s="473">
        <f t="shared" si="14"/>
        <v>0</v>
      </c>
      <c r="Y94" s="464" t="s">
        <v>823</v>
      </c>
      <c r="Z94" s="468">
        <v>415007</v>
      </c>
      <c r="AA94" s="527"/>
      <c r="AB94" s="563"/>
      <c r="AC94" s="473">
        <f t="shared" si="15"/>
        <v>0</v>
      </c>
      <c r="AE94" s="464" t="s">
        <v>823</v>
      </c>
      <c r="AF94" s="468">
        <v>415007</v>
      </c>
      <c r="AG94" s="527"/>
      <c r="AH94" s="563"/>
      <c r="AI94" s="473">
        <f t="shared" si="16"/>
        <v>0</v>
      </c>
      <c r="AK94" s="464" t="s">
        <v>823</v>
      </c>
      <c r="AL94" s="468">
        <v>415007</v>
      </c>
      <c r="AM94" s="527"/>
      <c r="AN94" s="563"/>
      <c r="AO94" s="473">
        <f t="shared" si="17"/>
        <v>0</v>
      </c>
      <c r="AQ94" s="464" t="s">
        <v>823</v>
      </c>
      <c r="AR94" s="468">
        <v>415007</v>
      </c>
      <c r="AS94" s="527"/>
      <c r="AT94" s="563"/>
      <c r="AU94" s="473">
        <f t="shared" si="18"/>
        <v>0</v>
      </c>
      <c r="AW94" s="464" t="s">
        <v>823</v>
      </c>
      <c r="AX94" s="468">
        <v>415007</v>
      </c>
      <c r="AY94" s="527"/>
      <c r="AZ94" s="563"/>
      <c r="BA94" s="473">
        <f t="shared" si="19"/>
        <v>0</v>
      </c>
      <c r="BC94" s="464" t="s">
        <v>823</v>
      </c>
      <c r="BD94" s="468">
        <v>415007</v>
      </c>
      <c r="BE94" s="527"/>
      <c r="BF94" s="563"/>
      <c r="BG94" s="473">
        <f t="shared" si="20"/>
        <v>0</v>
      </c>
      <c r="BI94" s="464" t="s">
        <v>823</v>
      </c>
      <c r="BJ94" s="468">
        <v>415007</v>
      </c>
      <c r="BK94" s="527"/>
      <c r="BL94" s="563"/>
      <c r="BM94" s="473">
        <f t="shared" si="21"/>
        <v>0</v>
      </c>
      <c r="BO94" s="464" t="s">
        <v>823</v>
      </c>
      <c r="BP94" s="468">
        <v>415007</v>
      </c>
      <c r="BQ94" s="527"/>
      <c r="BR94" s="563"/>
      <c r="BS94" s="473">
        <f t="shared" si="22"/>
        <v>0</v>
      </c>
    </row>
    <row r="95" spans="1:71" ht="24" customHeight="1" hidden="1">
      <c r="A95" s="464" t="s">
        <v>824</v>
      </c>
      <c r="B95" s="468">
        <v>415008</v>
      </c>
      <c r="C95" s="527"/>
      <c r="D95" s="543"/>
      <c r="E95" s="473"/>
      <c r="F95" s="466"/>
      <c r="G95" s="464" t="s">
        <v>824</v>
      </c>
      <c r="H95" s="468">
        <v>415008</v>
      </c>
      <c r="I95" s="527"/>
      <c r="J95" s="563"/>
      <c r="K95" s="473">
        <f t="shared" si="12"/>
        <v>0</v>
      </c>
      <c r="M95" s="464" t="s">
        <v>824</v>
      </c>
      <c r="N95" s="468">
        <v>415008</v>
      </c>
      <c r="O95" s="527"/>
      <c r="P95" s="563"/>
      <c r="Q95" s="473">
        <f t="shared" si="13"/>
        <v>0</v>
      </c>
      <c r="S95" s="464" t="s">
        <v>824</v>
      </c>
      <c r="T95" s="468">
        <v>415008</v>
      </c>
      <c r="U95" s="527"/>
      <c r="V95" s="563"/>
      <c r="W95" s="473">
        <f t="shared" si="14"/>
        <v>0</v>
      </c>
      <c r="Y95" s="464" t="s">
        <v>824</v>
      </c>
      <c r="Z95" s="468">
        <v>415008</v>
      </c>
      <c r="AA95" s="527"/>
      <c r="AB95" s="563"/>
      <c r="AC95" s="473">
        <f t="shared" si="15"/>
        <v>0</v>
      </c>
      <c r="AE95" s="464" t="s">
        <v>824</v>
      </c>
      <c r="AF95" s="468">
        <v>415008</v>
      </c>
      <c r="AG95" s="527"/>
      <c r="AH95" s="563"/>
      <c r="AI95" s="473">
        <f t="shared" si="16"/>
        <v>0</v>
      </c>
      <c r="AK95" s="464" t="s">
        <v>824</v>
      </c>
      <c r="AL95" s="468">
        <v>415008</v>
      </c>
      <c r="AM95" s="527"/>
      <c r="AN95" s="563"/>
      <c r="AO95" s="473">
        <f t="shared" si="17"/>
        <v>0</v>
      </c>
      <c r="AQ95" s="464" t="s">
        <v>824</v>
      </c>
      <c r="AR95" s="468">
        <v>415008</v>
      </c>
      <c r="AS95" s="527"/>
      <c r="AT95" s="563"/>
      <c r="AU95" s="473">
        <f t="shared" si="18"/>
        <v>0</v>
      </c>
      <c r="AW95" s="464" t="s">
        <v>824</v>
      </c>
      <c r="AX95" s="468">
        <v>415008</v>
      </c>
      <c r="AY95" s="527"/>
      <c r="AZ95" s="563"/>
      <c r="BA95" s="473">
        <f t="shared" si="19"/>
        <v>0</v>
      </c>
      <c r="BC95" s="464" t="s">
        <v>824</v>
      </c>
      <c r="BD95" s="468">
        <v>415008</v>
      </c>
      <c r="BE95" s="527"/>
      <c r="BF95" s="563"/>
      <c r="BG95" s="473">
        <f t="shared" si="20"/>
        <v>0</v>
      </c>
      <c r="BI95" s="464" t="s">
        <v>824</v>
      </c>
      <c r="BJ95" s="468">
        <v>415008</v>
      </c>
      <c r="BK95" s="527"/>
      <c r="BL95" s="563"/>
      <c r="BM95" s="473">
        <f t="shared" si="21"/>
        <v>0</v>
      </c>
      <c r="BO95" s="464" t="s">
        <v>824</v>
      </c>
      <c r="BP95" s="468">
        <v>415008</v>
      </c>
      <c r="BQ95" s="527"/>
      <c r="BR95" s="563"/>
      <c r="BS95" s="473">
        <f t="shared" si="22"/>
        <v>0</v>
      </c>
    </row>
    <row r="96" spans="1:71" ht="24">
      <c r="A96" s="464" t="s">
        <v>825</v>
      </c>
      <c r="B96" s="468">
        <v>415999</v>
      </c>
      <c r="C96" s="527">
        <v>30000</v>
      </c>
      <c r="D96" s="555">
        <v>20</v>
      </c>
      <c r="E96" s="473">
        <f>+D96</f>
        <v>20</v>
      </c>
      <c r="F96" s="466"/>
      <c r="G96" s="464" t="s">
        <v>825</v>
      </c>
      <c r="H96" s="468">
        <v>415999</v>
      </c>
      <c r="I96" s="527">
        <v>30000</v>
      </c>
      <c r="J96" s="566">
        <v>260</v>
      </c>
      <c r="K96" s="473">
        <f t="shared" si="12"/>
        <v>280</v>
      </c>
      <c r="M96" s="464" t="s">
        <v>825</v>
      </c>
      <c r="N96" s="468">
        <v>415999</v>
      </c>
      <c r="O96" s="527">
        <v>30000</v>
      </c>
      <c r="P96" s="566">
        <v>1640</v>
      </c>
      <c r="Q96" s="473">
        <f t="shared" si="13"/>
        <v>1920</v>
      </c>
      <c r="S96" s="464" t="s">
        <v>825</v>
      </c>
      <c r="T96" s="468">
        <v>415999</v>
      </c>
      <c r="U96" s="527">
        <v>30000</v>
      </c>
      <c r="V96" s="566">
        <v>50</v>
      </c>
      <c r="W96" s="473">
        <f t="shared" si="14"/>
        <v>1970</v>
      </c>
      <c r="Y96" s="464" t="s">
        <v>825</v>
      </c>
      <c r="Z96" s="468">
        <v>415999</v>
      </c>
      <c r="AA96" s="527">
        <v>30000</v>
      </c>
      <c r="AB96" s="566">
        <v>134</v>
      </c>
      <c r="AC96" s="473">
        <f t="shared" si="15"/>
        <v>2104</v>
      </c>
      <c r="AE96" s="464" t="s">
        <v>825</v>
      </c>
      <c r="AF96" s="468">
        <v>415999</v>
      </c>
      <c r="AG96" s="527">
        <v>30000</v>
      </c>
      <c r="AH96" s="566">
        <v>510</v>
      </c>
      <c r="AI96" s="473">
        <f t="shared" si="16"/>
        <v>2614</v>
      </c>
      <c r="AK96" s="464" t="s">
        <v>825</v>
      </c>
      <c r="AL96" s="468">
        <v>415999</v>
      </c>
      <c r="AM96" s="527">
        <v>30000</v>
      </c>
      <c r="AN96" s="566">
        <v>200</v>
      </c>
      <c r="AO96" s="473">
        <f t="shared" si="17"/>
        <v>2814</v>
      </c>
      <c r="AQ96" s="464" t="s">
        <v>825</v>
      </c>
      <c r="AR96" s="468">
        <v>415999</v>
      </c>
      <c r="AS96" s="527">
        <v>30000</v>
      </c>
      <c r="AT96" s="566">
        <v>680</v>
      </c>
      <c r="AU96" s="473">
        <f t="shared" si="18"/>
        <v>3494</v>
      </c>
      <c r="AW96" s="464" t="s">
        <v>825</v>
      </c>
      <c r="AX96" s="468">
        <v>415999</v>
      </c>
      <c r="AY96" s="527">
        <v>30000</v>
      </c>
      <c r="AZ96" s="566">
        <v>550</v>
      </c>
      <c r="BA96" s="473">
        <f t="shared" si="19"/>
        <v>4044</v>
      </c>
      <c r="BC96" s="464" t="s">
        <v>825</v>
      </c>
      <c r="BD96" s="468">
        <v>415999</v>
      </c>
      <c r="BE96" s="527">
        <v>30000</v>
      </c>
      <c r="BF96" s="566">
        <v>1680</v>
      </c>
      <c r="BG96" s="473">
        <f t="shared" si="20"/>
        <v>5724</v>
      </c>
      <c r="BI96" s="464" t="s">
        <v>825</v>
      </c>
      <c r="BJ96" s="468">
        <v>415999</v>
      </c>
      <c r="BK96" s="527">
        <v>30000</v>
      </c>
      <c r="BL96" s="566">
        <v>20</v>
      </c>
      <c r="BM96" s="473">
        <f t="shared" si="21"/>
        <v>5744</v>
      </c>
      <c r="BO96" s="464" t="s">
        <v>825</v>
      </c>
      <c r="BP96" s="468">
        <v>415999</v>
      </c>
      <c r="BQ96" s="527">
        <v>30000</v>
      </c>
      <c r="BR96" s="566">
        <v>200</v>
      </c>
      <c r="BS96" s="473">
        <f t="shared" si="22"/>
        <v>5944</v>
      </c>
    </row>
    <row r="97" spans="1:71" ht="24">
      <c r="A97" s="475" t="s">
        <v>34</v>
      </c>
      <c r="B97" s="513"/>
      <c r="C97" s="528">
        <f>SUM(C88:C96)</f>
        <v>230000</v>
      </c>
      <c r="D97" s="512">
        <f>SUM(D88:D96)</f>
        <v>31720</v>
      </c>
      <c r="E97" s="499">
        <f>SUM(E88:E96)</f>
        <v>31720</v>
      </c>
      <c r="F97" s="466"/>
      <c r="G97" s="475" t="s">
        <v>34</v>
      </c>
      <c r="H97" s="513"/>
      <c r="I97" s="528">
        <f>SUM(I88:I96)</f>
        <v>230000</v>
      </c>
      <c r="J97" s="570">
        <f>SUM(J88:J96)</f>
        <v>260</v>
      </c>
      <c r="K97" s="499">
        <f>SUM(K88:K96)</f>
        <v>31980</v>
      </c>
      <c r="M97" s="475" t="s">
        <v>34</v>
      </c>
      <c r="N97" s="513"/>
      <c r="O97" s="528">
        <f>SUM(O88:O96)</f>
        <v>230000</v>
      </c>
      <c r="P97" s="570">
        <f>SUM(P88:P96)</f>
        <v>11640</v>
      </c>
      <c r="Q97" s="499">
        <f>SUM(Q88:Q96)</f>
        <v>43620</v>
      </c>
      <c r="S97" s="475" t="s">
        <v>34</v>
      </c>
      <c r="T97" s="513"/>
      <c r="U97" s="528">
        <f>SUM(U88:U96)</f>
        <v>230000</v>
      </c>
      <c r="V97" s="570">
        <f>SUM(V88:V96)</f>
        <v>50</v>
      </c>
      <c r="W97" s="499">
        <f>SUM(W88:W96)</f>
        <v>43670</v>
      </c>
      <c r="Y97" s="475" t="s">
        <v>34</v>
      </c>
      <c r="Z97" s="513"/>
      <c r="AA97" s="528">
        <f>SUM(AA88:AA96)</f>
        <v>230000</v>
      </c>
      <c r="AB97" s="570">
        <f>SUM(AB88:AB96)</f>
        <v>27534</v>
      </c>
      <c r="AC97" s="499">
        <f>SUM(AC88:AC96)</f>
        <v>71204</v>
      </c>
      <c r="AE97" s="475" t="s">
        <v>34</v>
      </c>
      <c r="AF97" s="513"/>
      <c r="AG97" s="528">
        <f>SUM(AG88:AG96)</f>
        <v>230000</v>
      </c>
      <c r="AH97" s="570">
        <f>SUM(AH88:AH96)</f>
        <v>510</v>
      </c>
      <c r="AI97" s="499">
        <f>SUM(AI88:AI96)</f>
        <v>71714</v>
      </c>
      <c r="AK97" s="475" t="s">
        <v>34</v>
      </c>
      <c r="AL97" s="513"/>
      <c r="AM97" s="528">
        <f>SUM(AM88:AM96)</f>
        <v>230000</v>
      </c>
      <c r="AN97" s="570">
        <f>SUM(AN88:AN96)</f>
        <v>200</v>
      </c>
      <c r="AO97" s="499">
        <f>SUM(AO88:AO96)</f>
        <v>71914</v>
      </c>
      <c r="AQ97" s="475" t="s">
        <v>34</v>
      </c>
      <c r="AR97" s="513"/>
      <c r="AS97" s="528">
        <f>SUM(AS88:AS96)</f>
        <v>230000</v>
      </c>
      <c r="AT97" s="570">
        <f>SUM(AT88:AT96)</f>
        <v>41380</v>
      </c>
      <c r="AU97" s="499">
        <f>SUM(AU88:AU96)</f>
        <v>113294</v>
      </c>
      <c r="AW97" s="475" t="s">
        <v>34</v>
      </c>
      <c r="AX97" s="513"/>
      <c r="AY97" s="528">
        <f>SUM(AY88:AY96)</f>
        <v>230000</v>
      </c>
      <c r="AZ97" s="570">
        <f>SUM(AZ88:AZ96)</f>
        <v>7150</v>
      </c>
      <c r="BA97" s="499">
        <f>SUM(BA88:BA96)</f>
        <v>120444</v>
      </c>
      <c r="BC97" s="475" t="s">
        <v>34</v>
      </c>
      <c r="BD97" s="513"/>
      <c r="BE97" s="528">
        <f>SUM(BE88:BE96)</f>
        <v>230000</v>
      </c>
      <c r="BF97" s="570">
        <f>SUM(BF88:BF96)</f>
        <v>32280</v>
      </c>
      <c r="BG97" s="499">
        <f>SUM(BG88:BG96)</f>
        <v>152724</v>
      </c>
      <c r="BI97" s="475" t="s">
        <v>34</v>
      </c>
      <c r="BJ97" s="513"/>
      <c r="BK97" s="528">
        <f>SUM(BK88:BK96)</f>
        <v>230000</v>
      </c>
      <c r="BL97" s="570">
        <f>SUM(BL88:BL96)</f>
        <v>5120</v>
      </c>
      <c r="BM97" s="499">
        <f>SUM(BM88:BM96)</f>
        <v>157844</v>
      </c>
      <c r="BN97" s="611"/>
      <c r="BO97" s="475" t="s">
        <v>34</v>
      </c>
      <c r="BP97" s="513"/>
      <c r="BQ97" s="528">
        <f>SUM(BQ88:BQ96)</f>
        <v>230000</v>
      </c>
      <c r="BR97" s="570">
        <f>SUM(BR88:BR96)</f>
        <v>200</v>
      </c>
      <c r="BS97" s="499">
        <f>SUM(BS88:BS96)</f>
        <v>158044</v>
      </c>
    </row>
    <row r="98" spans="1:71" ht="24">
      <c r="A98" s="467" t="s">
        <v>447</v>
      </c>
      <c r="B98" s="468">
        <v>416000</v>
      </c>
      <c r="C98" s="536">
        <v>10000</v>
      </c>
      <c r="D98" s="543"/>
      <c r="E98" s="473"/>
      <c r="F98" s="466"/>
      <c r="G98" s="467" t="s">
        <v>447</v>
      </c>
      <c r="H98" s="468">
        <v>416000</v>
      </c>
      <c r="I98" s="536">
        <v>10000</v>
      </c>
      <c r="J98" s="563"/>
      <c r="K98" s="473"/>
      <c r="M98" s="467" t="s">
        <v>447</v>
      </c>
      <c r="N98" s="468">
        <v>416000</v>
      </c>
      <c r="O98" s="536">
        <v>10000</v>
      </c>
      <c r="P98" s="563"/>
      <c r="Q98" s="473"/>
      <c r="S98" s="467" t="s">
        <v>447</v>
      </c>
      <c r="T98" s="468">
        <v>416000</v>
      </c>
      <c r="U98" s="536">
        <v>10000</v>
      </c>
      <c r="V98" s="563"/>
      <c r="W98" s="473"/>
      <c r="Y98" s="467" t="s">
        <v>447</v>
      </c>
      <c r="Z98" s="468">
        <v>416000</v>
      </c>
      <c r="AA98" s="536">
        <v>10000</v>
      </c>
      <c r="AB98" s="563"/>
      <c r="AC98" s="473"/>
      <c r="AE98" s="467" t="s">
        <v>447</v>
      </c>
      <c r="AF98" s="468">
        <v>416000</v>
      </c>
      <c r="AG98" s="536">
        <v>10000</v>
      </c>
      <c r="AH98" s="563"/>
      <c r="AI98" s="473"/>
      <c r="AK98" s="467" t="s">
        <v>447</v>
      </c>
      <c r="AL98" s="468">
        <v>416000</v>
      </c>
      <c r="AM98" s="536">
        <v>10000</v>
      </c>
      <c r="AN98" s="563"/>
      <c r="AO98" s="473"/>
      <c r="AQ98" s="467" t="s">
        <v>447</v>
      </c>
      <c r="AR98" s="468">
        <v>416000</v>
      </c>
      <c r="AS98" s="536">
        <v>10000</v>
      </c>
      <c r="AT98" s="563"/>
      <c r="AU98" s="473"/>
      <c r="AW98" s="467" t="s">
        <v>447</v>
      </c>
      <c r="AX98" s="468">
        <v>416000</v>
      </c>
      <c r="AY98" s="536">
        <v>10000</v>
      </c>
      <c r="AZ98" s="563"/>
      <c r="BA98" s="473"/>
      <c r="BC98" s="467" t="s">
        <v>447</v>
      </c>
      <c r="BD98" s="468">
        <v>416000</v>
      </c>
      <c r="BE98" s="536">
        <v>10000</v>
      </c>
      <c r="BF98" s="563"/>
      <c r="BG98" s="473"/>
      <c r="BI98" s="467" t="s">
        <v>447</v>
      </c>
      <c r="BJ98" s="468">
        <v>416000</v>
      </c>
      <c r="BK98" s="536">
        <v>10000</v>
      </c>
      <c r="BL98" s="563"/>
      <c r="BM98" s="473"/>
      <c r="BO98" s="467" t="s">
        <v>447</v>
      </c>
      <c r="BP98" s="468">
        <v>416000</v>
      </c>
      <c r="BQ98" s="536">
        <v>10000</v>
      </c>
      <c r="BR98" s="563"/>
      <c r="BS98" s="473"/>
    </row>
    <row r="99" spans="1:71" ht="24">
      <c r="A99" s="464" t="s">
        <v>826</v>
      </c>
      <c r="B99" s="468">
        <v>416001</v>
      </c>
      <c r="C99" s="527">
        <v>10000</v>
      </c>
      <c r="D99" s="487"/>
      <c r="E99" s="473">
        <f>+D99</f>
        <v>0</v>
      </c>
      <c r="F99" s="466"/>
      <c r="G99" s="464" t="s">
        <v>826</v>
      </c>
      <c r="H99" s="468">
        <v>416001</v>
      </c>
      <c r="I99" s="527">
        <v>10000</v>
      </c>
      <c r="J99" s="566"/>
      <c r="K99" s="473">
        <f>+D99+J99</f>
        <v>0</v>
      </c>
      <c r="M99" s="464" t="s">
        <v>826</v>
      </c>
      <c r="N99" s="468">
        <v>416001</v>
      </c>
      <c r="O99" s="527">
        <v>10000</v>
      </c>
      <c r="P99" s="566"/>
      <c r="Q99" s="473">
        <f>+D99+J99+P99</f>
        <v>0</v>
      </c>
      <c r="S99" s="464" t="s">
        <v>826</v>
      </c>
      <c r="T99" s="468">
        <v>416001</v>
      </c>
      <c r="U99" s="527">
        <v>10000</v>
      </c>
      <c r="V99" s="566"/>
      <c r="W99" s="473">
        <f>+D99+J99+P99+V99</f>
        <v>0</v>
      </c>
      <c r="Y99" s="464" t="s">
        <v>826</v>
      </c>
      <c r="Z99" s="468">
        <v>416001</v>
      </c>
      <c r="AA99" s="527">
        <v>10000</v>
      </c>
      <c r="AB99" s="566"/>
      <c r="AC99" s="473">
        <f>+J99+P99+V99+AB99+D99</f>
        <v>0</v>
      </c>
      <c r="AE99" s="464" t="s">
        <v>826</v>
      </c>
      <c r="AF99" s="468">
        <v>416001</v>
      </c>
      <c r="AG99" s="527">
        <v>10000</v>
      </c>
      <c r="AH99" s="566"/>
      <c r="AI99" s="473">
        <f>+P99+V99+AB99+AH99+J99+D99</f>
        <v>0</v>
      </c>
      <c r="AK99" s="464" t="s">
        <v>826</v>
      </c>
      <c r="AL99" s="468">
        <v>416001</v>
      </c>
      <c r="AM99" s="527">
        <v>10000</v>
      </c>
      <c r="AN99" s="566"/>
      <c r="AO99" s="473">
        <f>+V99+AB99+AH99+AN99+P99+J99+D99</f>
        <v>0</v>
      </c>
      <c r="AQ99" s="464" t="s">
        <v>826</v>
      </c>
      <c r="AR99" s="468">
        <v>416001</v>
      </c>
      <c r="AS99" s="527">
        <v>10000</v>
      </c>
      <c r="AT99" s="566"/>
      <c r="AU99" s="473">
        <f>+AB99+AH99+AN99+AT99+V99+P99+J99</f>
        <v>0</v>
      </c>
      <c r="AW99" s="464" t="s">
        <v>826</v>
      </c>
      <c r="AX99" s="468">
        <v>416001</v>
      </c>
      <c r="AY99" s="527">
        <v>10000</v>
      </c>
      <c r="AZ99" s="566"/>
      <c r="BA99" s="473">
        <f>+AH99+AN99+AT99+AZ99+AB99+V99+P99+J99+D99</f>
        <v>0</v>
      </c>
      <c r="BC99" s="464" t="s">
        <v>826</v>
      </c>
      <c r="BD99" s="468">
        <v>416001</v>
      </c>
      <c r="BE99" s="527">
        <v>10000</v>
      </c>
      <c r="BF99" s="566"/>
      <c r="BG99" s="473">
        <f>+AN99+AT99+AZ99+BF99+AH99+AB99+V99+P99+J99+D99</f>
        <v>0</v>
      </c>
      <c r="BI99" s="464" t="s">
        <v>826</v>
      </c>
      <c r="BJ99" s="468">
        <v>416001</v>
      </c>
      <c r="BK99" s="527">
        <v>10000</v>
      </c>
      <c r="BL99" s="566"/>
      <c r="BM99" s="473">
        <f>+AT99+AZ99+BF99+BL99+AN99+AH99+AB99+V99+P99+J99+D99</f>
        <v>0</v>
      </c>
      <c r="BO99" s="464" t="s">
        <v>826</v>
      </c>
      <c r="BP99" s="468">
        <v>416001</v>
      </c>
      <c r="BQ99" s="527">
        <v>10000</v>
      </c>
      <c r="BR99" s="566"/>
      <c r="BS99" s="473">
        <f>+AZ99+BF99+BL99+BR99+AT99+AN99+AH99+AB99+V99+P99+J99+D99</f>
        <v>0</v>
      </c>
    </row>
    <row r="100" spans="1:71" ht="24" customHeight="1" hidden="1">
      <c r="A100" s="464" t="s">
        <v>827</v>
      </c>
      <c r="B100" s="468">
        <v>416999</v>
      </c>
      <c r="C100" s="527"/>
      <c r="D100" s="547"/>
      <c r="E100" s="473"/>
      <c r="F100" s="466"/>
      <c r="G100" s="464" t="s">
        <v>827</v>
      </c>
      <c r="H100" s="468">
        <v>416999</v>
      </c>
      <c r="I100" s="527"/>
      <c r="J100" s="572"/>
      <c r="K100" s="473"/>
      <c r="M100" s="464" t="s">
        <v>827</v>
      </c>
      <c r="N100" s="468">
        <v>416999</v>
      </c>
      <c r="O100" s="527"/>
      <c r="P100" s="572"/>
      <c r="Q100" s="473"/>
      <c r="S100" s="464" t="s">
        <v>827</v>
      </c>
      <c r="T100" s="468">
        <v>416999</v>
      </c>
      <c r="U100" s="527"/>
      <c r="V100" s="572"/>
      <c r="W100" s="473"/>
      <c r="Y100" s="464" t="s">
        <v>827</v>
      </c>
      <c r="Z100" s="468">
        <v>416999</v>
      </c>
      <c r="AA100" s="527"/>
      <c r="AB100" s="572"/>
      <c r="AC100" s="473"/>
      <c r="AE100" s="464" t="s">
        <v>827</v>
      </c>
      <c r="AF100" s="468">
        <v>416999</v>
      </c>
      <c r="AG100" s="527"/>
      <c r="AH100" s="572"/>
      <c r="AI100" s="473"/>
      <c r="AK100" s="464" t="s">
        <v>827</v>
      </c>
      <c r="AL100" s="468">
        <v>416999</v>
      </c>
      <c r="AM100" s="527"/>
      <c r="AN100" s="572"/>
      <c r="AO100" s="473"/>
      <c r="AQ100" s="464" t="s">
        <v>827</v>
      </c>
      <c r="AR100" s="468">
        <v>416999</v>
      </c>
      <c r="AS100" s="527"/>
      <c r="AT100" s="572"/>
      <c r="AU100" s="473"/>
      <c r="AW100" s="464" t="s">
        <v>827</v>
      </c>
      <c r="AX100" s="468">
        <v>416999</v>
      </c>
      <c r="AY100" s="527"/>
      <c r="AZ100" s="572"/>
      <c r="BA100" s="473"/>
      <c r="BC100" s="464" t="s">
        <v>827</v>
      </c>
      <c r="BD100" s="468">
        <v>416999</v>
      </c>
      <c r="BE100" s="527"/>
      <c r="BF100" s="572"/>
      <c r="BG100" s="473"/>
      <c r="BI100" s="464" t="s">
        <v>827</v>
      </c>
      <c r="BJ100" s="468">
        <v>416999</v>
      </c>
      <c r="BK100" s="527"/>
      <c r="BL100" s="572"/>
      <c r="BM100" s="473"/>
      <c r="BO100" s="464" t="s">
        <v>827</v>
      </c>
      <c r="BP100" s="468">
        <v>416999</v>
      </c>
      <c r="BQ100" s="527"/>
      <c r="BR100" s="572"/>
      <c r="BS100" s="473"/>
    </row>
    <row r="101" spans="1:71" ht="24">
      <c r="A101" s="475" t="s">
        <v>34</v>
      </c>
      <c r="B101" s="513"/>
      <c r="C101" s="531">
        <f>SUM(C99:C100)</f>
        <v>10000</v>
      </c>
      <c r="D101" s="531">
        <f>SUM(D99:D100)</f>
        <v>0</v>
      </c>
      <c r="E101" s="531">
        <f>SUM(E99:E100)</f>
        <v>0</v>
      </c>
      <c r="F101" s="466"/>
      <c r="G101" s="475" t="s">
        <v>34</v>
      </c>
      <c r="H101" s="513"/>
      <c r="I101" s="531">
        <f>SUM(I99:I100)</f>
        <v>10000</v>
      </c>
      <c r="J101" s="573">
        <f>SUM(J99:J100)</f>
        <v>0</v>
      </c>
      <c r="K101" s="562">
        <f>SUM(K99:K100)</f>
        <v>0</v>
      </c>
      <c r="M101" s="475" t="s">
        <v>34</v>
      </c>
      <c r="N101" s="513"/>
      <c r="O101" s="531">
        <f>SUM(O99:O100)</f>
        <v>10000</v>
      </c>
      <c r="P101" s="573">
        <f>SUM(P99:P100)</f>
        <v>0</v>
      </c>
      <c r="Q101" s="562">
        <f>SUM(Q99:Q100)</f>
        <v>0</v>
      </c>
      <c r="S101" s="475" t="s">
        <v>34</v>
      </c>
      <c r="T101" s="513"/>
      <c r="U101" s="531">
        <f>SUM(U99:U100)</f>
        <v>10000</v>
      </c>
      <c r="V101" s="573">
        <f>SUM(V99:V100)</f>
        <v>0</v>
      </c>
      <c r="W101" s="562">
        <f>SUM(W99:W100)</f>
        <v>0</v>
      </c>
      <c r="Y101" s="475" t="s">
        <v>34</v>
      </c>
      <c r="Z101" s="513"/>
      <c r="AA101" s="531">
        <f>SUM(AA99:AA100)</f>
        <v>10000</v>
      </c>
      <c r="AB101" s="573">
        <f>SUM(AB99:AB100)</f>
        <v>0</v>
      </c>
      <c r="AC101" s="562">
        <f>SUM(AC99:AC100)</f>
        <v>0</v>
      </c>
      <c r="AE101" s="475" t="s">
        <v>34</v>
      </c>
      <c r="AF101" s="513"/>
      <c r="AG101" s="531">
        <f>SUM(AG99:AG100)</f>
        <v>10000</v>
      </c>
      <c r="AH101" s="573">
        <f>SUM(AH99:AH100)</f>
        <v>0</v>
      </c>
      <c r="AI101" s="562">
        <f>SUM(AI99:AI100)</f>
        <v>0</v>
      </c>
      <c r="AK101" s="475" t="s">
        <v>34</v>
      </c>
      <c r="AL101" s="513"/>
      <c r="AM101" s="531">
        <f>SUM(AM99:AM100)</f>
        <v>10000</v>
      </c>
      <c r="AN101" s="573">
        <f>SUM(AN99:AN100)</f>
        <v>0</v>
      </c>
      <c r="AO101" s="562">
        <f>SUM(AO99:AO100)</f>
        <v>0</v>
      </c>
      <c r="AQ101" s="475" t="s">
        <v>34</v>
      </c>
      <c r="AR101" s="513"/>
      <c r="AS101" s="531">
        <f>SUM(AS99:AS100)</f>
        <v>10000</v>
      </c>
      <c r="AT101" s="573">
        <f>SUM(AT99:AT100)</f>
        <v>0</v>
      </c>
      <c r="AU101" s="562">
        <f>SUM(AU99:AU100)</f>
        <v>0</v>
      </c>
      <c r="AW101" s="475" t="s">
        <v>34</v>
      </c>
      <c r="AX101" s="513"/>
      <c r="AY101" s="531">
        <f>SUM(AY99:AY100)</f>
        <v>10000</v>
      </c>
      <c r="AZ101" s="573">
        <f>SUM(AZ99:AZ100)</f>
        <v>0</v>
      </c>
      <c r="BA101" s="562">
        <f>SUM(BA99:BA100)</f>
        <v>0</v>
      </c>
      <c r="BC101" s="475" t="s">
        <v>34</v>
      </c>
      <c r="BD101" s="513"/>
      <c r="BE101" s="531">
        <f>SUM(BE99:BE100)</f>
        <v>10000</v>
      </c>
      <c r="BF101" s="573">
        <f>SUM(BF99:BF100)</f>
        <v>0</v>
      </c>
      <c r="BG101" s="562">
        <f>SUM(BG99:BG100)</f>
        <v>0</v>
      </c>
      <c r="BI101" s="475" t="s">
        <v>34</v>
      </c>
      <c r="BJ101" s="513"/>
      <c r="BK101" s="531">
        <f>SUM(BK99:BK100)</f>
        <v>10000</v>
      </c>
      <c r="BL101" s="573">
        <f>SUM(BL99:BL100)</f>
        <v>0</v>
      </c>
      <c r="BM101" s="562">
        <f>SUM(BM99:BM100)</f>
        <v>0</v>
      </c>
      <c r="BN101" s="611"/>
      <c r="BO101" s="475" t="s">
        <v>34</v>
      </c>
      <c r="BP101" s="513"/>
      <c r="BQ101" s="531">
        <f>SUM(BQ99:BQ100)</f>
        <v>10000</v>
      </c>
      <c r="BR101" s="573">
        <f>SUM(BR99:BR100)</f>
        <v>0</v>
      </c>
      <c r="BS101" s="562">
        <f>SUM(BS99:BS100)</f>
        <v>0</v>
      </c>
    </row>
    <row r="102" spans="1:71" ht="24" customHeight="1" hidden="1">
      <c r="A102" s="475"/>
      <c r="B102" s="513"/>
      <c r="C102" s="599"/>
      <c r="D102" s="600"/>
      <c r="E102" s="600"/>
      <c r="F102" s="466"/>
      <c r="G102" s="475"/>
      <c r="H102" s="513"/>
      <c r="I102" s="599"/>
      <c r="J102" s="601"/>
      <c r="K102" s="602"/>
      <c r="M102" s="475"/>
      <c r="N102" s="513"/>
      <c r="O102" s="599"/>
      <c r="P102" s="601"/>
      <c r="Q102" s="602"/>
      <c r="S102" s="475"/>
      <c r="T102" s="513"/>
      <c r="U102" s="599"/>
      <c r="V102" s="601"/>
      <c r="W102" s="602"/>
      <c r="Y102" s="475"/>
      <c r="Z102" s="513"/>
      <c r="AA102" s="599"/>
      <c r="AB102" s="601"/>
      <c r="AC102" s="602"/>
      <c r="AE102" s="475"/>
      <c r="AF102" s="513"/>
      <c r="AG102" s="599"/>
      <c r="AH102" s="601"/>
      <c r="AI102" s="602"/>
      <c r="AK102" s="475"/>
      <c r="AL102" s="513"/>
      <c r="AM102" s="599"/>
      <c r="AN102" s="601"/>
      <c r="AO102" s="602"/>
      <c r="AQ102" s="475"/>
      <c r="AR102" s="513"/>
      <c r="AS102" s="599"/>
      <c r="AT102" s="601"/>
      <c r="AU102" s="602"/>
      <c r="AW102" s="475"/>
      <c r="AX102" s="513"/>
      <c r="AY102" s="599"/>
      <c r="AZ102" s="601"/>
      <c r="BA102" s="602"/>
      <c r="BC102" s="475"/>
      <c r="BD102" s="513"/>
      <c r="BE102" s="599"/>
      <c r="BF102" s="601"/>
      <c r="BG102" s="602"/>
      <c r="BI102" s="475"/>
      <c r="BJ102" s="513"/>
      <c r="BK102" s="599"/>
      <c r="BL102" s="601"/>
      <c r="BM102" s="602"/>
      <c r="BO102" s="475"/>
      <c r="BP102" s="513"/>
      <c r="BQ102" s="599"/>
      <c r="BR102" s="601"/>
      <c r="BS102" s="602"/>
    </row>
    <row r="103" spans="1:71" ht="24">
      <c r="A103" s="467" t="s">
        <v>828</v>
      </c>
      <c r="B103" s="538"/>
      <c r="C103" s="527"/>
      <c r="D103" s="547"/>
      <c r="E103" s="473"/>
      <c r="F103" s="466"/>
      <c r="G103" s="467" t="s">
        <v>828</v>
      </c>
      <c r="H103" s="538"/>
      <c r="I103" s="527"/>
      <c r="J103" s="572"/>
      <c r="K103" s="473"/>
      <c r="M103" s="467" t="s">
        <v>828</v>
      </c>
      <c r="N103" s="538"/>
      <c r="O103" s="527"/>
      <c r="P103" s="572"/>
      <c r="Q103" s="473"/>
      <c r="S103" s="467" t="s">
        <v>828</v>
      </c>
      <c r="T103" s="538"/>
      <c r="U103" s="527"/>
      <c r="V103" s="572"/>
      <c r="W103" s="473"/>
      <c r="Y103" s="467" t="s">
        <v>828</v>
      </c>
      <c r="Z103" s="538"/>
      <c r="AA103" s="527"/>
      <c r="AB103" s="572"/>
      <c r="AC103" s="473"/>
      <c r="AE103" s="467" t="s">
        <v>828</v>
      </c>
      <c r="AF103" s="538"/>
      <c r="AG103" s="527"/>
      <c r="AH103" s="572"/>
      <c r="AI103" s="473"/>
      <c r="AK103" s="467" t="s">
        <v>828</v>
      </c>
      <c r="AL103" s="538"/>
      <c r="AM103" s="527"/>
      <c r="AN103" s="572"/>
      <c r="AO103" s="473"/>
      <c r="AQ103" s="467" t="s">
        <v>828</v>
      </c>
      <c r="AR103" s="538"/>
      <c r="AS103" s="527"/>
      <c r="AT103" s="572"/>
      <c r="AU103" s="473"/>
      <c r="AW103" s="467" t="s">
        <v>828</v>
      </c>
      <c r="AX103" s="538"/>
      <c r="AY103" s="527"/>
      <c r="AZ103" s="572"/>
      <c r="BA103" s="473"/>
      <c r="BC103" s="467" t="s">
        <v>828</v>
      </c>
      <c r="BD103" s="538"/>
      <c r="BE103" s="527"/>
      <c r="BF103" s="572"/>
      <c r="BG103" s="473"/>
      <c r="BI103" s="467" t="s">
        <v>828</v>
      </c>
      <c r="BJ103" s="538"/>
      <c r="BK103" s="527"/>
      <c r="BL103" s="572"/>
      <c r="BM103" s="473"/>
      <c r="BO103" s="467" t="s">
        <v>828</v>
      </c>
      <c r="BP103" s="538"/>
      <c r="BQ103" s="527"/>
      <c r="BR103" s="572"/>
      <c r="BS103" s="473"/>
    </row>
    <row r="104" spans="1:71" ht="24">
      <c r="A104" s="467" t="s">
        <v>452</v>
      </c>
      <c r="B104" s="468">
        <v>421000</v>
      </c>
      <c r="C104" s="536">
        <v>18570000</v>
      </c>
      <c r="D104" s="543"/>
      <c r="E104" s="473"/>
      <c r="F104" s="466"/>
      <c r="G104" s="467" t="s">
        <v>452</v>
      </c>
      <c r="H104" s="468">
        <v>421000</v>
      </c>
      <c r="I104" s="536">
        <v>18570000</v>
      </c>
      <c r="J104" s="563"/>
      <c r="K104" s="473"/>
      <c r="M104" s="467" t="s">
        <v>452</v>
      </c>
      <c r="N104" s="468">
        <v>421000</v>
      </c>
      <c r="O104" s="536">
        <v>18570000</v>
      </c>
      <c r="P104" s="563"/>
      <c r="Q104" s="473"/>
      <c r="S104" s="467" t="s">
        <v>452</v>
      </c>
      <c r="T104" s="468">
        <v>421000</v>
      </c>
      <c r="U104" s="536">
        <v>18570000</v>
      </c>
      <c r="V104" s="563"/>
      <c r="W104" s="473"/>
      <c r="Y104" s="467" t="s">
        <v>452</v>
      </c>
      <c r="Z104" s="468">
        <v>421000</v>
      </c>
      <c r="AA104" s="536">
        <v>18570000</v>
      </c>
      <c r="AB104" s="563"/>
      <c r="AC104" s="473"/>
      <c r="AE104" s="467" t="s">
        <v>452</v>
      </c>
      <c r="AF104" s="468">
        <v>421000</v>
      </c>
      <c r="AG104" s="536">
        <v>18570000</v>
      </c>
      <c r="AH104" s="563"/>
      <c r="AI104" s="473"/>
      <c r="AK104" s="467" t="s">
        <v>452</v>
      </c>
      <c r="AL104" s="468">
        <v>421000</v>
      </c>
      <c r="AM104" s="536">
        <v>18570000</v>
      </c>
      <c r="AN104" s="563"/>
      <c r="AO104" s="473"/>
      <c r="AQ104" s="467" t="s">
        <v>452</v>
      </c>
      <c r="AR104" s="468">
        <v>421000</v>
      </c>
      <c r="AS104" s="536">
        <v>18570000</v>
      </c>
      <c r="AT104" s="563"/>
      <c r="AU104" s="473"/>
      <c r="AW104" s="467" t="s">
        <v>452</v>
      </c>
      <c r="AX104" s="468">
        <v>421000</v>
      </c>
      <c r="AY104" s="536">
        <v>18570000</v>
      </c>
      <c r="AZ104" s="563"/>
      <c r="BA104" s="473"/>
      <c r="BC104" s="467" t="s">
        <v>452</v>
      </c>
      <c r="BD104" s="468">
        <v>421000</v>
      </c>
      <c r="BE104" s="536">
        <v>18570000</v>
      </c>
      <c r="BF104" s="563"/>
      <c r="BG104" s="473"/>
      <c r="BI104" s="467" t="s">
        <v>452</v>
      </c>
      <c r="BJ104" s="468">
        <v>421000</v>
      </c>
      <c r="BK104" s="536">
        <v>18570000</v>
      </c>
      <c r="BL104" s="563"/>
      <c r="BM104" s="473"/>
      <c r="BO104" s="467" t="s">
        <v>452</v>
      </c>
      <c r="BP104" s="468">
        <v>421000</v>
      </c>
      <c r="BQ104" s="536">
        <v>18570000</v>
      </c>
      <c r="BR104" s="563"/>
      <c r="BS104" s="473"/>
    </row>
    <row r="105" spans="1:71" ht="24">
      <c r="A105" s="464" t="s">
        <v>829</v>
      </c>
      <c r="B105" s="468">
        <v>421001</v>
      </c>
      <c r="C105" s="527"/>
      <c r="D105" s="487">
        <v>270859.69</v>
      </c>
      <c r="E105" s="473">
        <f aca="true" t="shared" si="23" ref="E105:E119">+D105</f>
        <v>270859.69</v>
      </c>
      <c r="F105" s="466"/>
      <c r="G105" s="464" t="s">
        <v>829</v>
      </c>
      <c r="H105" s="468">
        <v>421001</v>
      </c>
      <c r="I105" s="527"/>
      <c r="J105" s="566"/>
      <c r="K105" s="473">
        <f aca="true" t="shared" si="24" ref="K105:K119">+D105+J105</f>
        <v>270859.69</v>
      </c>
      <c r="M105" s="464" t="s">
        <v>829</v>
      </c>
      <c r="N105" s="468">
        <v>421001</v>
      </c>
      <c r="O105" s="527"/>
      <c r="P105" s="566"/>
      <c r="Q105" s="473">
        <f aca="true" t="shared" si="25" ref="Q105:Q119">+D105+J105+P105</f>
        <v>270859.69</v>
      </c>
      <c r="S105" s="464" t="s">
        <v>829</v>
      </c>
      <c r="T105" s="468">
        <v>421001</v>
      </c>
      <c r="U105" s="527"/>
      <c r="V105" s="566"/>
      <c r="W105" s="473">
        <f aca="true" t="shared" si="26" ref="W105:W119">+D105+J105+P105+V105</f>
        <v>270859.69</v>
      </c>
      <c r="Y105" s="464" t="s">
        <v>829</v>
      </c>
      <c r="Z105" s="468">
        <v>421001</v>
      </c>
      <c r="AA105" s="527"/>
      <c r="AB105" s="566"/>
      <c r="AC105" s="473">
        <f aca="true" t="shared" si="27" ref="AC105:AC119">+J105+P105+V105+AB105+D105</f>
        <v>270859.69</v>
      </c>
      <c r="AE105" s="464" t="s">
        <v>829</v>
      </c>
      <c r="AF105" s="468">
        <v>421001</v>
      </c>
      <c r="AG105" s="527"/>
      <c r="AH105" s="566"/>
      <c r="AI105" s="473">
        <f aca="true" t="shared" si="28" ref="AI105:AI119">+P105+V105+AB105+AH105+J105+D105</f>
        <v>270859.69</v>
      </c>
      <c r="AK105" s="464" t="s">
        <v>829</v>
      </c>
      <c r="AL105" s="468">
        <v>421001</v>
      </c>
      <c r="AM105" s="527"/>
      <c r="AN105" s="566"/>
      <c r="AO105" s="473">
        <f aca="true" t="shared" si="29" ref="AO105:AO119">+V105+AB105+AH105+AN105+P105+J105+D105</f>
        <v>270859.69</v>
      </c>
      <c r="AQ105" s="464" t="s">
        <v>829</v>
      </c>
      <c r="AR105" s="468">
        <v>421001</v>
      </c>
      <c r="AS105" s="527"/>
      <c r="AT105" s="566"/>
      <c r="AU105" s="473">
        <f aca="true" t="shared" si="30" ref="AU105:AU119">+AB105+AH105+AN105+AT105+V105+P105+J105+D105</f>
        <v>270859.69</v>
      </c>
      <c r="AW105" s="464" t="s">
        <v>829</v>
      </c>
      <c r="AX105" s="468">
        <v>421001</v>
      </c>
      <c r="AY105" s="527"/>
      <c r="AZ105" s="566">
        <v>465475.56</v>
      </c>
      <c r="BA105" s="473">
        <f aca="true" t="shared" si="31" ref="BA105:BA119">+AH105+AN105+AT105+AZ105+AB105+V105+P105+J105+D105</f>
        <v>736335.25</v>
      </c>
      <c r="BC105" s="464" t="s">
        <v>829</v>
      </c>
      <c r="BD105" s="468">
        <v>421001</v>
      </c>
      <c r="BE105" s="527"/>
      <c r="BF105" s="566">
        <f>26160.34+182545.73</f>
        <v>208706.07</v>
      </c>
      <c r="BG105" s="473">
        <f aca="true" t="shared" si="32" ref="BG105:BG119">+AN105+AT105+AZ105+BF105+AH105+AB105+V105+P105+J105+D105</f>
        <v>945041.3200000001</v>
      </c>
      <c r="BI105" s="464" t="s">
        <v>829</v>
      </c>
      <c r="BJ105" s="468">
        <v>421001</v>
      </c>
      <c r="BK105" s="527"/>
      <c r="BL105" s="566"/>
      <c r="BM105" s="473">
        <f aca="true" t="shared" si="33" ref="BM105:BM119">+AT105+AZ105+BF105+BL105+AN105+AH105+AB105+V105+P105+J105+D105</f>
        <v>945041.3200000001</v>
      </c>
      <c r="BO105" s="464" t="s">
        <v>829</v>
      </c>
      <c r="BP105" s="468">
        <v>421001</v>
      </c>
      <c r="BQ105" s="527"/>
      <c r="BR105" s="566">
        <v>67536.14</v>
      </c>
      <c r="BS105" s="473">
        <f aca="true" t="shared" si="34" ref="BS105:BS119">+AZ105+BF105+BL105+BR105+AT105+AN105+AH105+AB105+V105+P105+J105+D105</f>
        <v>1012577.46</v>
      </c>
    </row>
    <row r="106" spans="1:71" ht="24">
      <c r="A106" s="464" t="s">
        <v>830</v>
      </c>
      <c r="B106" s="468">
        <v>421002</v>
      </c>
      <c r="C106" s="527">
        <v>8500000</v>
      </c>
      <c r="D106" s="544">
        <v>700614.76</v>
      </c>
      <c r="E106" s="473">
        <f t="shared" si="23"/>
        <v>700614.76</v>
      </c>
      <c r="F106" s="500"/>
      <c r="G106" s="464" t="s">
        <v>830</v>
      </c>
      <c r="H106" s="468">
        <v>421002</v>
      </c>
      <c r="I106" s="527">
        <v>8500000</v>
      </c>
      <c r="J106" s="564">
        <v>1180080.42</v>
      </c>
      <c r="K106" s="473">
        <f t="shared" si="24"/>
        <v>1880695.18</v>
      </c>
      <c r="M106" s="464" t="s">
        <v>830</v>
      </c>
      <c r="N106" s="468">
        <v>421002</v>
      </c>
      <c r="O106" s="527">
        <v>8500000</v>
      </c>
      <c r="P106" s="564">
        <v>371793.36</v>
      </c>
      <c r="Q106" s="473">
        <f t="shared" si="25"/>
        <v>2252488.54</v>
      </c>
      <c r="S106" s="464" t="s">
        <v>830</v>
      </c>
      <c r="T106" s="468">
        <v>421002</v>
      </c>
      <c r="U106" s="527">
        <v>8500000</v>
      </c>
      <c r="V106" s="564">
        <v>1874897.3</v>
      </c>
      <c r="W106" s="473">
        <f t="shared" si="26"/>
        <v>4127385.84</v>
      </c>
      <c r="Y106" s="464" t="s">
        <v>830</v>
      </c>
      <c r="Z106" s="468">
        <v>421002</v>
      </c>
      <c r="AA106" s="527">
        <v>8500000</v>
      </c>
      <c r="AB106" s="564"/>
      <c r="AC106" s="473">
        <f t="shared" si="27"/>
        <v>4127385.84</v>
      </c>
      <c r="AE106" s="464" t="s">
        <v>830</v>
      </c>
      <c r="AF106" s="468">
        <v>421002</v>
      </c>
      <c r="AG106" s="527">
        <v>8500000</v>
      </c>
      <c r="AH106" s="564">
        <v>1823389.11</v>
      </c>
      <c r="AI106" s="473">
        <f t="shared" si="28"/>
        <v>5950774.95</v>
      </c>
      <c r="AK106" s="464" t="s">
        <v>830</v>
      </c>
      <c r="AL106" s="468">
        <v>421002</v>
      </c>
      <c r="AM106" s="527">
        <v>8500000</v>
      </c>
      <c r="AN106" s="564">
        <v>844711.43</v>
      </c>
      <c r="AO106" s="473">
        <f t="shared" si="29"/>
        <v>6795486.38</v>
      </c>
      <c r="AQ106" s="464" t="s">
        <v>830</v>
      </c>
      <c r="AR106" s="468">
        <v>421002</v>
      </c>
      <c r="AS106" s="527">
        <v>8500000</v>
      </c>
      <c r="AT106" s="564">
        <v>684830.9</v>
      </c>
      <c r="AU106" s="473">
        <f t="shared" si="30"/>
        <v>7480317.28</v>
      </c>
      <c r="AW106" s="464" t="s">
        <v>830</v>
      </c>
      <c r="AX106" s="468">
        <v>421002</v>
      </c>
      <c r="AY106" s="527">
        <v>8500000</v>
      </c>
      <c r="AZ106" s="564">
        <v>790695.03</v>
      </c>
      <c r="BA106" s="473">
        <f t="shared" si="31"/>
        <v>8271012.31</v>
      </c>
      <c r="BC106" s="464" t="s">
        <v>830</v>
      </c>
      <c r="BD106" s="468">
        <v>421002</v>
      </c>
      <c r="BE106" s="527">
        <v>8500000</v>
      </c>
      <c r="BF106" s="564">
        <f>-26160.34+820431.76</f>
        <v>794271.42</v>
      </c>
      <c r="BG106" s="473">
        <f t="shared" si="32"/>
        <v>9065283.73</v>
      </c>
      <c r="BI106" s="464" t="s">
        <v>830</v>
      </c>
      <c r="BJ106" s="468">
        <v>421002</v>
      </c>
      <c r="BK106" s="527">
        <v>8500000</v>
      </c>
      <c r="BL106" s="564">
        <v>680060.15</v>
      </c>
      <c r="BM106" s="473">
        <f t="shared" si="33"/>
        <v>9745343.88</v>
      </c>
      <c r="BO106" s="464" t="s">
        <v>830</v>
      </c>
      <c r="BP106" s="468">
        <v>421002</v>
      </c>
      <c r="BQ106" s="527">
        <v>8500000</v>
      </c>
      <c r="BR106" s="564">
        <v>686993.34</v>
      </c>
      <c r="BS106" s="473">
        <f t="shared" si="34"/>
        <v>10432337.219999999</v>
      </c>
    </row>
    <row r="107" spans="1:71" ht="24">
      <c r="A107" s="464" t="s">
        <v>866</v>
      </c>
      <c r="B107" s="468">
        <v>421003</v>
      </c>
      <c r="C107" s="527">
        <v>4000000</v>
      </c>
      <c r="D107" s="543"/>
      <c r="E107" s="473">
        <f t="shared" si="23"/>
        <v>0</v>
      </c>
      <c r="F107" s="501"/>
      <c r="G107" s="464" t="s">
        <v>866</v>
      </c>
      <c r="H107" s="468">
        <v>421003</v>
      </c>
      <c r="I107" s="527">
        <v>4000000</v>
      </c>
      <c r="J107" s="563"/>
      <c r="K107" s="473">
        <f t="shared" si="24"/>
        <v>0</v>
      </c>
      <c r="M107" s="464" t="s">
        <v>866</v>
      </c>
      <c r="N107" s="468">
        <v>421003</v>
      </c>
      <c r="O107" s="527">
        <v>4000000</v>
      </c>
      <c r="P107" s="563"/>
      <c r="Q107" s="473">
        <f t="shared" si="25"/>
        <v>0</v>
      </c>
      <c r="S107" s="464" t="s">
        <v>866</v>
      </c>
      <c r="T107" s="468">
        <v>421003</v>
      </c>
      <c r="U107" s="527"/>
      <c r="V107" s="563"/>
      <c r="W107" s="473">
        <f t="shared" si="26"/>
        <v>0</v>
      </c>
      <c r="Y107" s="464" t="s">
        <v>866</v>
      </c>
      <c r="Z107" s="468">
        <v>421003</v>
      </c>
      <c r="AA107" s="527"/>
      <c r="AB107" s="563"/>
      <c r="AC107" s="473">
        <f t="shared" si="27"/>
        <v>0</v>
      </c>
      <c r="AE107" s="464" t="s">
        <v>866</v>
      </c>
      <c r="AF107" s="468">
        <v>421003</v>
      </c>
      <c r="AG107" s="527"/>
      <c r="AH107" s="563"/>
      <c r="AI107" s="473">
        <f t="shared" si="28"/>
        <v>0</v>
      </c>
      <c r="AK107" s="464" t="s">
        <v>866</v>
      </c>
      <c r="AL107" s="468">
        <v>421003</v>
      </c>
      <c r="AM107" s="527"/>
      <c r="AN107" s="563"/>
      <c r="AO107" s="473">
        <f t="shared" si="29"/>
        <v>0</v>
      </c>
      <c r="AQ107" s="464" t="s">
        <v>866</v>
      </c>
      <c r="AR107" s="468">
        <v>421003</v>
      </c>
      <c r="AS107" s="527"/>
      <c r="AT107" s="563"/>
      <c r="AU107" s="473">
        <f t="shared" si="30"/>
        <v>0</v>
      </c>
      <c r="AW107" s="464" t="s">
        <v>866</v>
      </c>
      <c r="AX107" s="468">
        <v>421003</v>
      </c>
      <c r="AY107" s="527"/>
      <c r="AZ107" s="563"/>
      <c r="BA107" s="473">
        <f t="shared" si="31"/>
        <v>0</v>
      </c>
      <c r="BC107" s="464" t="s">
        <v>866</v>
      </c>
      <c r="BD107" s="468">
        <v>421003</v>
      </c>
      <c r="BE107" s="527"/>
      <c r="BF107" s="563"/>
      <c r="BG107" s="473">
        <f t="shared" si="32"/>
        <v>0</v>
      </c>
      <c r="BI107" s="464" t="s">
        <v>866</v>
      </c>
      <c r="BJ107" s="468">
        <v>421003</v>
      </c>
      <c r="BK107" s="527"/>
      <c r="BL107" s="563"/>
      <c r="BM107" s="473">
        <f t="shared" si="33"/>
        <v>0</v>
      </c>
      <c r="BO107" s="464" t="s">
        <v>866</v>
      </c>
      <c r="BP107" s="468">
        <v>421003</v>
      </c>
      <c r="BQ107" s="527"/>
      <c r="BR107" s="563"/>
      <c r="BS107" s="473">
        <f t="shared" si="34"/>
        <v>0</v>
      </c>
    </row>
    <row r="108" spans="1:71" ht="24">
      <c r="A108" s="464" t="s">
        <v>833</v>
      </c>
      <c r="B108" s="468">
        <v>421004</v>
      </c>
      <c r="C108" s="527"/>
      <c r="D108" s="487"/>
      <c r="E108" s="473">
        <f t="shared" si="23"/>
        <v>0</v>
      </c>
      <c r="F108" s="466"/>
      <c r="G108" s="464" t="s">
        <v>833</v>
      </c>
      <c r="H108" s="468">
        <v>421004</v>
      </c>
      <c r="I108" s="527"/>
      <c r="J108" s="566">
        <v>447972.62</v>
      </c>
      <c r="K108" s="473">
        <f t="shared" si="24"/>
        <v>447972.62</v>
      </c>
      <c r="M108" s="464" t="s">
        <v>833</v>
      </c>
      <c r="N108" s="468">
        <v>421004</v>
      </c>
      <c r="O108" s="527"/>
      <c r="P108" s="566"/>
      <c r="Q108" s="473">
        <f t="shared" si="25"/>
        <v>447972.62</v>
      </c>
      <c r="S108" s="464" t="s">
        <v>833</v>
      </c>
      <c r="T108" s="468">
        <v>421004</v>
      </c>
      <c r="U108" s="527">
        <v>4000000</v>
      </c>
      <c r="V108" s="566"/>
      <c r="W108" s="473">
        <f t="shared" si="26"/>
        <v>447972.62</v>
      </c>
      <c r="Y108" s="464" t="s">
        <v>833</v>
      </c>
      <c r="Z108" s="468">
        <v>421004</v>
      </c>
      <c r="AA108" s="527">
        <v>4000000</v>
      </c>
      <c r="AB108" s="566">
        <v>501961.81</v>
      </c>
      <c r="AC108" s="473">
        <f t="shared" si="27"/>
        <v>949934.4299999999</v>
      </c>
      <c r="AE108" s="464" t="s">
        <v>833</v>
      </c>
      <c r="AF108" s="468">
        <v>421004</v>
      </c>
      <c r="AG108" s="527">
        <v>4000000</v>
      </c>
      <c r="AH108" s="566"/>
      <c r="AI108" s="473">
        <f t="shared" si="28"/>
        <v>949934.4299999999</v>
      </c>
      <c r="AK108" s="464" t="s">
        <v>833</v>
      </c>
      <c r="AL108" s="468">
        <v>421004</v>
      </c>
      <c r="AM108" s="527">
        <v>4000000</v>
      </c>
      <c r="AN108" s="566"/>
      <c r="AO108" s="473">
        <f t="shared" si="29"/>
        <v>949934.4299999999</v>
      </c>
      <c r="AQ108" s="464" t="s">
        <v>833</v>
      </c>
      <c r="AR108" s="468">
        <v>421004</v>
      </c>
      <c r="AS108" s="527">
        <v>4000000</v>
      </c>
      <c r="AT108" s="566">
        <v>864158.14</v>
      </c>
      <c r="AU108" s="473">
        <f t="shared" si="30"/>
        <v>1814092.5699999998</v>
      </c>
      <c r="AW108" s="464" t="s">
        <v>833</v>
      </c>
      <c r="AX108" s="468">
        <v>421004</v>
      </c>
      <c r="AY108" s="527">
        <v>4000000</v>
      </c>
      <c r="AZ108" s="566">
        <v>437297.1</v>
      </c>
      <c r="BA108" s="473">
        <f t="shared" si="31"/>
        <v>2251389.67</v>
      </c>
      <c r="BC108" s="464" t="s">
        <v>833</v>
      </c>
      <c r="BD108" s="468">
        <v>421004</v>
      </c>
      <c r="BE108" s="527">
        <v>4000000</v>
      </c>
      <c r="BF108" s="566"/>
      <c r="BG108" s="473">
        <f t="shared" si="32"/>
        <v>2251389.67</v>
      </c>
      <c r="BI108" s="464" t="s">
        <v>833</v>
      </c>
      <c r="BJ108" s="468">
        <v>421004</v>
      </c>
      <c r="BK108" s="527">
        <v>4000000</v>
      </c>
      <c r="BL108" s="566">
        <v>925966.57</v>
      </c>
      <c r="BM108" s="473">
        <f t="shared" si="33"/>
        <v>3177356.24</v>
      </c>
      <c r="BO108" s="464" t="s">
        <v>833</v>
      </c>
      <c r="BP108" s="468">
        <v>421004</v>
      </c>
      <c r="BQ108" s="527">
        <v>4000000</v>
      </c>
      <c r="BR108" s="566">
        <v>449874.11</v>
      </c>
      <c r="BS108" s="473">
        <f t="shared" si="34"/>
        <v>3627230.35</v>
      </c>
    </row>
    <row r="109" spans="1:71" ht="24">
      <c r="A109" s="464" t="s">
        <v>834</v>
      </c>
      <c r="B109" s="468">
        <v>421005</v>
      </c>
      <c r="C109" s="527">
        <v>20000</v>
      </c>
      <c r="D109" s="544"/>
      <c r="E109" s="473">
        <f t="shared" si="23"/>
        <v>0</v>
      </c>
      <c r="F109" s="466"/>
      <c r="G109" s="464" t="s">
        <v>834</v>
      </c>
      <c r="H109" s="468">
        <v>421005</v>
      </c>
      <c r="I109" s="527">
        <v>20000</v>
      </c>
      <c r="J109" s="564"/>
      <c r="K109" s="473">
        <f t="shared" si="24"/>
        <v>0</v>
      </c>
      <c r="M109" s="464" t="s">
        <v>834</v>
      </c>
      <c r="N109" s="468">
        <v>421005</v>
      </c>
      <c r="O109" s="527">
        <v>20000</v>
      </c>
      <c r="P109" s="564"/>
      <c r="Q109" s="473">
        <f t="shared" si="25"/>
        <v>0</v>
      </c>
      <c r="S109" s="464" t="s">
        <v>834</v>
      </c>
      <c r="T109" s="468">
        <v>421005</v>
      </c>
      <c r="U109" s="527">
        <v>20000</v>
      </c>
      <c r="V109" s="564"/>
      <c r="W109" s="473">
        <f t="shared" si="26"/>
        <v>0</v>
      </c>
      <c r="Y109" s="464" t="s">
        <v>834</v>
      </c>
      <c r="Z109" s="468">
        <v>421005</v>
      </c>
      <c r="AA109" s="527">
        <v>20000</v>
      </c>
      <c r="AB109" s="564"/>
      <c r="AC109" s="473">
        <f t="shared" si="27"/>
        <v>0</v>
      </c>
      <c r="AE109" s="464" t="s">
        <v>834</v>
      </c>
      <c r="AF109" s="468">
        <v>421005</v>
      </c>
      <c r="AG109" s="527">
        <v>20000</v>
      </c>
      <c r="AH109" s="564"/>
      <c r="AI109" s="473">
        <f t="shared" si="28"/>
        <v>0</v>
      </c>
      <c r="AK109" s="464" t="s">
        <v>834</v>
      </c>
      <c r="AL109" s="468">
        <v>421005</v>
      </c>
      <c r="AM109" s="527">
        <v>20000</v>
      </c>
      <c r="AN109" s="564">
        <v>60517.16</v>
      </c>
      <c r="AO109" s="473">
        <f t="shared" si="29"/>
        <v>60517.16</v>
      </c>
      <c r="AQ109" s="464" t="s">
        <v>834</v>
      </c>
      <c r="AR109" s="468">
        <v>421005</v>
      </c>
      <c r="AS109" s="527">
        <v>20000</v>
      </c>
      <c r="AT109" s="564"/>
      <c r="AU109" s="473">
        <f t="shared" si="30"/>
        <v>60517.16</v>
      </c>
      <c r="AW109" s="464" t="s">
        <v>834</v>
      </c>
      <c r="AX109" s="468">
        <v>421005</v>
      </c>
      <c r="AY109" s="527">
        <v>20000</v>
      </c>
      <c r="AZ109" s="564">
        <v>20250.39</v>
      </c>
      <c r="BA109" s="473">
        <f t="shared" si="31"/>
        <v>80767.55</v>
      </c>
      <c r="BC109" s="464" t="s">
        <v>834</v>
      </c>
      <c r="BD109" s="468">
        <v>421005</v>
      </c>
      <c r="BE109" s="527">
        <v>20000</v>
      </c>
      <c r="BF109" s="564"/>
      <c r="BG109" s="473">
        <f t="shared" si="32"/>
        <v>80767.55</v>
      </c>
      <c r="BI109" s="464" t="s">
        <v>834</v>
      </c>
      <c r="BJ109" s="468">
        <v>421005</v>
      </c>
      <c r="BK109" s="527">
        <v>20000</v>
      </c>
      <c r="BL109" s="564">
        <v>7037.41</v>
      </c>
      <c r="BM109" s="473">
        <f t="shared" si="33"/>
        <v>87804.96</v>
      </c>
      <c r="BO109" s="464" t="s">
        <v>834</v>
      </c>
      <c r="BP109" s="468">
        <v>421005</v>
      </c>
      <c r="BQ109" s="527">
        <v>20000</v>
      </c>
      <c r="BR109" s="564">
        <v>14273.94</v>
      </c>
      <c r="BS109" s="473">
        <f t="shared" si="34"/>
        <v>102078.9</v>
      </c>
    </row>
    <row r="110" spans="1:71" ht="24">
      <c r="A110" s="464" t="s">
        <v>835</v>
      </c>
      <c r="B110" s="468">
        <v>421006</v>
      </c>
      <c r="C110" s="527">
        <v>2000000</v>
      </c>
      <c r="D110" s="544">
        <v>189492.3</v>
      </c>
      <c r="E110" s="473">
        <f t="shared" si="23"/>
        <v>189492.3</v>
      </c>
      <c r="F110" s="466"/>
      <c r="G110" s="464" t="s">
        <v>835</v>
      </c>
      <c r="H110" s="468">
        <v>421006</v>
      </c>
      <c r="I110" s="527">
        <v>2000000</v>
      </c>
      <c r="J110" s="564">
        <v>394612.09</v>
      </c>
      <c r="K110" s="473">
        <f t="shared" si="24"/>
        <v>584104.39</v>
      </c>
      <c r="M110" s="464" t="s">
        <v>835</v>
      </c>
      <c r="N110" s="468">
        <v>421006</v>
      </c>
      <c r="O110" s="527">
        <v>2000000</v>
      </c>
      <c r="P110" s="564">
        <v>188095.8</v>
      </c>
      <c r="Q110" s="473">
        <f t="shared" si="25"/>
        <v>772200.19</v>
      </c>
      <c r="S110" s="464" t="s">
        <v>835</v>
      </c>
      <c r="T110" s="468">
        <v>421006</v>
      </c>
      <c r="U110" s="527">
        <v>2000000</v>
      </c>
      <c r="V110" s="564">
        <v>272092.74</v>
      </c>
      <c r="W110" s="473">
        <f t="shared" si="26"/>
        <v>1044292.9299999999</v>
      </c>
      <c r="Y110" s="464" t="s">
        <v>835</v>
      </c>
      <c r="Z110" s="468">
        <v>421006</v>
      </c>
      <c r="AA110" s="527">
        <v>2000000</v>
      </c>
      <c r="AB110" s="564">
        <v>213283.05</v>
      </c>
      <c r="AC110" s="473">
        <f t="shared" si="27"/>
        <v>1257575.98</v>
      </c>
      <c r="AE110" s="464" t="s">
        <v>835</v>
      </c>
      <c r="AF110" s="468">
        <v>421006</v>
      </c>
      <c r="AG110" s="527">
        <v>2000000</v>
      </c>
      <c r="AH110" s="564">
        <v>253745.19</v>
      </c>
      <c r="AI110" s="473">
        <f t="shared" si="28"/>
        <v>1511321.1700000002</v>
      </c>
      <c r="AK110" s="464" t="s">
        <v>835</v>
      </c>
      <c r="AL110" s="468">
        <v>421006</v>
      </c>
      <c r="AM110" s="527">
        <v>2000000</v>
      </c>
      <c r="AN110" s="564"/>
      <c r="AO110" s="473">
        <f t="shared" si="29"/>
        <v>1511321.1700000002</v>
      </c>
      <c r="AQ110" s="464" t="s">
        <v>835</v>
      </c>
      <c r="AR110" s="468">
        <v>421006</v>
      </c>
      <c r="AS110" s="527">
        <v>2000000</v>
      </c>
      <c r="AT110" s="564">
        <v>540715.68</v>
      </c>
      <c r="AU110" s="473">
        <f t="shared" si="30"/>
        <v>2052036.8500000003</v>
      </c>
      <c r="AW110" s="464" t="s">
        <v>835</v>
      </c>
      <c r="AX110" s="468">
        <v>421006</v>
      </c>
      <c r="AY110" s="527">
        <v>2000000</v>
      </c>
      <c r="AZ110" s="564">
        <v>157926.87</v>
      </c>
      <c r="BA110" s="473">
        <f t="shared" si="31"/>
        <v>2209963.72</v>
      </c>
      <c r="BC110" s="464" t="s">
        <v>835</v>
      </c>
      <c r="BD110" s="468">
        <v>421006</v>
      </c>
      <c r="BE110" s="527">
        <v>2000000</v>
      </c>
      <c r="BF110" s="564"/>
      <c r="BG110" s="473">
        <f t="shared" si="32"/>
        <v>2209963.72</v>
      </c>
      <c r="BI110" s="464" t="s">
        <v>835</v>
      </c>
      <c r="BJ110" s="468">
        <v>421006</v>
      </c>
      <c r="BK110" s="527">
        <v>2000000</v>
      </c>
      <c r="BL110" s="564">
        <v>375544.72</v>
      </c>
      <c r="BM110" s="473">
        <f t="shared" si="33"/>
        <v>2585508.44</v>
      </c>
      <c r="BO110" s="464" t="s">
        <v>835</v>
      </c>
      <c r="BP110" s="468">
        <v>421006</v>
      </c>
      <c r="BQ110" s="527">
        <v>2000000</v>
      </c>
      <c r="BR110" s="564">
        <v>215486.07</v>
      </c>
      <c r="BS110" s="473">
        <f t="shared" si="34"/>
        <v>2800994.5099999993</v>
      </c>
    </row>
    <row r="111" spans="1:71" ht="24">
      <c r="A111" s="464" t="s">
        <v>836</v>
      </c>
      <c r="B111" s="468">
        <v>421007</v>
      </c>
      <c r="C111" s="527">
        <v>3450000</v>
      </c>
      <c r="D111" s="544">
        <v>280775.12</v>
      </c>
      <c r="E111" s="473">
        <f t="shared" si="23"/>
        <v>280775.12</v>
      </c>
      <c r="F111" s="466"/>
      <c r="G111" s="464" t="s">
        <v>836</v>
      </c>
      <c r="H111" s="468">
        <v>421007</v>
      </c>
      <c r="I111" s="527">
        <v>3450000</v>
      </c>
      <c r="J111" s="564">
        <v>610946.08</v>
      </c>
      <c r="K111" s="473">
        <f t="shared" si="24"/>
        <v>891721.2</v>
      </c>
      <c r="M111" s="464" t="s">
        <v>836</v>
      </c>
      <c r="N111" s="468">
        <v>421007</v>
      </c>
      <c r="O111" s="527">
        <v>3450000</v>
      </c>
      <c r="P111" s="564">
        <v>224752.72</v>
      </c>
      <c r="Q111" s="473">
        <f t="shared" si="25"/>
        <v>1116473.92</v>
      </c>
      <c r="S111" s="464" t="s">
        <v>836</v>
      </c>
      <c r="T111" s="468">
        <v>421007</v>
      </c>
      <c r="U111" s="527">
        <v>3450000</v>
      </c>
      <c r="V111" s="564">
        <v>352148.96</v>
      </c>
      <c r="W111" s="473">
        <f t="shared" si="26"/>
        <v>1468622.88</v>
      </c>
      <c r="Y111" s="464" t="s">
        <v>836</v>
      </c>
      <c r="Z111" s="468">
        <v>421007</v>
      </c>
      <c r="AA111" s="527">
        <v>3450000</v>
      </c>
      <c r="AB111" s="564">
        <v>433061.05</v>
      </c>
      <c r="AC111" s="473">
        <f t="shared" si="27"/>
        <v>1901683.9300000002</v>
      </c>
      <c r="AE111" s="464" t="s">
        <v>836</v>
      </c>
      <c r="AF111" s="468">
        <v>421007</v>
      </c>
      <c r="AG111" s="527">
        <v>3450000</v>
      </c>
      <c r="AH111" s="564">
        <v>353017.95</v>
      </c>
      <c r="AI111" s="473">
        <f t="shared" si="28"/>
        <v>2254701.88</v>
      </c>
      <c r="AK111" s="464" t="s">
        <v>836</v>
      </c>
      <c r="AL111" s="468">
        <v>421007</v>
      </c>
      <c r="AM111" s="527">
        <v>3450000</v>
      </c>
      <c r="AN111" s="564"/>
      <c r="AO111" s="473">
        <f t="shared" si="29"/>
        <v>2254701.88</v>
      </c>
      <c r="AQ111" s="464" t="s">
        <v>836</v>
      </c>
      <c r="AR111" s="468">
        <v>421007</v>
      </c>
      <c r="AS111" s="527">
        <v>3450000</v>
      </c>
      <c r="AT111" s="564">
        <v>908382.37</v>
      </c>
      <c r="AU111" s="473">
        <f t="shared" si="30"/>
        <v>3163084.2500000005</v>
      </c>
      <c r="AW111" s="464" t="s">
        <v>836</v>
      </c>
      <c r="AX111" s="468">
        <v>421007</v>
      </c>
      <c r="AY111" s="527">
        <v>3450000</v>
      </c>
      <c r="AZ111" s="564">
        <v>425584.59</v>
      </c>
      <c r="BA111" s="473">
        <f t="shared" si="31"/>
        <v>3588668.8400000003</v>
      </c>
      <c r="BC111" s="464" t="s">
        <v>836</v>
      </c>
      <c r="BD111" s="468">
        <v>421007</v>
      </c>
      <c r="BE111" s="527">
        <v>3450000</v>
      </c>
      <c r="BF111" s="564"/>
      <c r="BG111" s="473">
        <f t="shared" si="32"/>
        <v>3588668.8400000003</v>
      </c>
      <c r="BI111" s="464" t="s">
        <v>836</v>
      </c>
      <c r="BJ111" s="468">
        <v>421007</v>
      </c>
      <c r="BK111" s="527">
        <v>3450000</v>
      </c>
      <c r="BL111" s="564">
        <v>808144.85</v>
      </c>
      <c r="BM111" s="473">
        <f t="shared" si="33"/>
        <v>4396813.69</v>
      </c>
      <c r="BO111" s="464" t="s">
        <v>836</v>
      </c>
      <c r="BP111" s="468">
        <v>421007</v>
      </c>
      <c r="BQ111" s="527">
        <v>3450000</v>
      </c>
      <c r="BR111" s="564">
        <v>428394.41</v>
      </c>
      <c r="BS111" s="473">
        <f t="shared" si="34"/>
        <v>4825208.1</v>
      </c>
    </row>
    <row r="112" spans="1:71" ht="24" customHeight="1" hidden="1">
      <c r="A112" s="464" t="s">
        <v>837</v>
      </c>
      <c r="B112" s="468">
        <v>421008</v>
      </c>
      <c r="C112" s="527"/>
      <c r="D112" s="487"/>
      <c r="E112" s="473">
        <f t="shared" si="23"/>
        <v>0</v>
      </c>
      <c r="F112" s="466"/>
      <c r="G112" s="464" t="s">
        <v>837</v>
      </c>
      <c r="H112" s="468">
        <v>421008</v>
      </c>
      <c r="I112" s="527"/>
      <c r="J112" s="566"/>
      <c r="K112" s="473">
        <f t="shared" si="24"/>
        <v>0</v>
      </c>
      <c r="M112" s="464" t="s">
        <v>837</v>
      </c>
      <c r="N112" s="468">
        <v>421008</v>
      </c>
      <c r="O112" s="527"/>
      <c r="P112" s="566"/>
      <c r="Q112" s="473">
        <f t="shared" si="25"/>
        <v>0</v>
      </c>
      <c r="S112" s="464" t="s">
        <v>837</v>
      </c>
      <c r="T112" s="468">
        <v>421008</v>
      </c>
      <c r="U112" s="527"/>
      <c r="V112" s="566"/>
      <c r="W112" s="473">
        <f t="shared" si="26"/>
        <v>0</v>
      </c>
      <c r="Y112" s="464" t="s">
        <v>837</v>
      </c>
      <c r="Z112" s="468">
        <v>421008</v>
      </c>
      <c r="AA112" s="527"/>
      <c r="AB112" s="566"/>
      <c r="AC112" s="473">
        <f t="shared" si="27"/>
        <v>0</v>
      </c>
      <c r="AE112" s="464" t="s">
        <v>837</v>
      </c>
      <c r="AF112" s="468">
        <v>421008</v>
      </c>
      <c r="AG112" s="527"/>
      <c r="AH112" s="566"/>
      <c r="AI112" s="473">
        <f t="shared" si="28"/>
        <v>0</v>
      </c>
      <c r="AK112" s="464" t="s">
        <v>837</v>
      </c>
      <c r="AL112" s="468">
        <v>421008</v>
      </c>
      <c r="AM112" s="527"/>
      <c r="AN112" s="566"/>
      <c r="AO112" s="473">
        <f t="shared" si="29"/>
        <v>0</v>
      </c>
      <c r="AQ112" s="464" t="s">
        <v>837</v>
      </c>
      <c r="AR112" s="468">
        <v>421008</v>
      </c>
      <c r="AS112" s="527"/>
      <c r="AT112" s="566"/>
      <c r="AU112" s="473">
        <f t="shared" si="30"/>
        <v>0</v>
      </c>
      <c r="AW112" s="464" t="s">
        <v>837</v>
      </c>
      <c r="AX112" s="468">
        <v>421008</v>
      </c>
      <c r="AY112" s="527"/>
      <c r="AZ112" s="566"/>
      <c r="BA112" s="473">
        <f t="shared" si="31"/>
        <v>0</v>
      </c>
      <c r="BC112" s="464" t="s">
        <v>837</v>
      </c>
      <c r="BD112" s="468">
        <v>421008</v>
      </c>
      <c r="BE112" s="527"/>
      <c r="BF112" s="566"/>
      <c r="BG112" s="473">
        <f t="shared" si="32"/>
        <v>0</v>
      </c>
      <c r="BI112" s="464" t="s">
        <v>837</v>
      </c>
      <c r="BJ112" s="468">
        <v>421008</v>
      </c>
      <c r="BK112" s="527"/>
      <c r="BL112" s="566"/>
      <c r="BM112" s="473">
        <f t="shared" si="33"/>
        <v>0</v>
      </c>
      <c r="BO112" s="464" t="s">
        <v>837</v>
      </c>
      <c r="BP112" s="468">
        <v>421008</v>
      </c>
      <c r="BQ112" s="527"/>
      <c r="BR112" s="566"/>
      <c r="BS112" s="473">
        <f t="shared" si="34"/>
        <v>0</v>
      </c>
    </row>
    <row r="113" spans="1:71" ht="24" customHeight="1" hidden="1">
      <c r="A113" s="464" t="s">
        <v>838</v>
      </c>
      <c r="B113" s="468">
        <v>421009</v>
      </c>
      <c r="C113" s="527"/>
      <c r="D113" s="543"/>
      <c r="E113" s="473">
        <f t="shared" si="23"/>
        <v>0</v>
      </c>
      <c r="F113" s="466"/>
      <c r="G113" s="464" t="s">
        <v>838</v>
      </c>
      <c r="H113" s="468">
        <v>421009</v>
      </c>
      <c r="I113" s="527"/>
      <c r="J113" s="563"/>
      <c r="K113" s="473">
        <f t="shared" si="24"/>
        <v>0</v>
      </c>
      <c r="M113" s="464" t="s">
        <v>838</v>
      </c>
      <c r="N113" s="468">
        <v>421009</v>
      </c>
      <c r="O113" s="527"/>
      <c r="P113" s="563"/>
      <c r="Q113" s="473">
        <f t="shared" si="25"/>
        <v>0</v>
      </c>
      <c r="S113" s="464" t="s">
        <v>838</v>
      </c>
      <c r="T113" s="468">
        <v>421009</v>
      </c>
      <c r="U113" s="527"/>
      <c r="V113" s="563"/>
      <c r="W113" s="473">
        <f t="shared" si="26"/>
        <v>0</v>
      </c>
      <c r="Y113" s="464" t="s">
        <v>838</v>
      </c>
      <c r="Z113" s="468">
        <v>421009</v>
      </c>
      <c r="AA113" s="527"/>
      <c r="AB113" s="563"/>
      <c r="AC113" s="473">
        <f t="shared" si="27"/>
        <v>0</v>
      </c>
      <c r="AE113" s="464" t="s">
        <v>838</v>
      </c>
      <c r="AF113" s="468">
        <v>421009</v>
      </c>
      <c r="AG113" s="527"/>
      <c r="AH113" s="563"/>
      <c r="AI113" s="473">
        <f t="shared" si="28"/>
        <v>0</v>
      </c>
      <c r="AK113" s="464" t="s">
        <v>838</v>
      </c>
      <c r="AL113" s="468">
        <v>421009</v>
      </c>
      <c r="AM113" s="527"/>
      <c r="AN113" s="563"/>
      <c r="AO113" s="473">
        <f t="shared" si="29"/>
        <v>0</v>
      </c>
      <c r="AQ113" s="464" t="s">
        <v>838</v>
      </c>
      <c r="AR113" s="468">
        <v>421009</v>
      </c>
      <c r="AS113" s="527"/>
      <c r="AT113" s="563"/>
      <c r="AU113" s="473">
        <f t="shared" si="30"/>
        <v>0</v>
      </c>
      <c r="AW113" s="464" t="s">
        <v>838</v>
      </c>
      <c r="AX113" s="468">
        <v>421009</v>
      </c>
      <c r="AY113" s="527"/>
      <c r="AZ113" s="563"/>
      <c r="BA113" s="473">
        <f t="shared" si="31"/>
        <v>0</v>
      </c>
      <c r="BC113" s="464" t="s">
        <v>838</v>
      </c>
      <c r="BD113" s="468">
        <v>421009</v>
      </c>
      <c r="BE113" s="527"/>
      <c r="BF113" s="563"/>
      <c r="BG113" s="473">
        <f t="shared" si="32"/>
        <v>0</v>
      </c>
      <c r="BI113" s="464" t="s">
        <v>838</v>
      </c>
      <c r="BJ113" s="468">
        <v>421009</v>
      </c>
      <c r="BK113" s="527"/>
      <c r="BL113" s="563"/>
      <c r="BM113" s="473">
        <f t="shared" si="33"/>
        <v>0</v>
      </c>
      <c r="BO113" s="464" t="s">
        <v>838</v>
      </c>
      <c r="BP113" s="468">
        <v>421009</v>
      </c>
      <c r="BQ113" s="527"/>
      <c r="BR113" s="563"/>
      <c r="BS113" s="473">
        <f t="shared" si="34"/>
        <v>0</v>
      </c>
    </row>
    <row r="114" spans="1:71" ht="24" customHeight="1" hidden="1">
      <c r="A114" s="464" t="s">
        <v>839</v>
      </c>
      <c r="B114" s="468">
        <v>421010</v>
      </c>
      <c r="C114" s="527"/>
      <c r="D114" s="543"/>
      <c r="E114" s="473">
        <f t="shared" si="23"/>
        <v>0</v>
      </c>
      <c r="F114" s="466"/>
      <c r="G114" s="464" t="s">
        <v>839</v>
      </c>
      <c r="H114" s="468">
        <v>421010</v>
      </c>
      <c r="I114" s="527"/>
      <c r="J114" s="563"/>
      <c r="K114" s="473">
        <f t="shared" si="24"/>
        <v>0</v>
      </c>
      <c r="M114" s="464" t="s">
        <v>839</v>
      </c>
      <c r="N114" s="468">
        <v>421010</v>
      </c>
      <c r="O114" s="527"/>
      <c r="P114" s="563"/>
      <c r="Q114" s="473">
        <f t="shared" si="25"/>
        <v>0</v>
      </c>
      <c r="S114" s="464" t="s">
        <v>839</v>
      </c>
      <c r="T114" s="468">
        <v>421010</v>
      </c>
      <c r="U114" s="527"/>
      <c r="V114" s="563"/>
      <c r="W114" s="473">
        <f t="shared" si="26"/>
        <v>0</v>
      </c>
      <c r="Y114" s="464" t="s">
        <v>839</v>
      </c>
      <c r="Z114" s="468">
        <v>421010</v>
      </c>
      <c r="AA114" s="527"/>
      <c r="AB114" s="563"/>
      <c r="AC114" s="473">
        <f t="shared" si="27"/>
        <v>0</v>
      </c>
      <c r="AE114" s="464" t="s">
        <v>839</v>
      </c>
      <c r="AF114" s="468">
        <v>421010</v>
      </c>
      <c r="AG114" s="527"/>
      <c r="AH114" s="563"/>
      <c r="AI114" s="473">
        <f t="shared" si="28"/>
        <v>0</v>
      </c>
      <c r="AK114" s="464" t="s">
        <v>839</v>
      </c>
      <c r="AL114" s="468">
        <v>421010</v>
      </c>
      <c r="AM114" s="527"/>
      <c r="AN114" s="563"/>
      <c r="AO114" s="473">
        <f t="shared" si="29"/>
        <v>0</v>
      </c>
      <c r="AQ114" s="464" t="s">
        <v>839</v>
      </c>
      <c r="AR114" s="468">
        <v>421010</v>
      </c>
      <c r="AS114" s="527"/>
      <c r="AT114" s="563"/>
      <c r="AU114" s="473">
        <f t="shared" si="30"/>
        <v>0</v>
      </c>
      <c r="AW114" s="464" t="s">
        <v>839</v>
      </c>
      <c r="AX114" s="468">
        <v>421010</v>
      </c>
      <c r="AY114" s="527"/>
      <c r="AZ114" s="563"/>
      <c r="BA114" s="473">
        <f t="shared" si="31"/>
        <v>0</v>
      </c>
      <c r="BC114" s="464" t="s">
        <v>839</v>
      </c>
      <c r="BD114" s="468">
        <v>421010</v>
      </c>
      <c r="BE114" s="527"/>
      <c r="BF114" s="563"/>
      <c r="BG114" s="473">
        <f t="shared" si="32"/>
        <v>0</v>
      </c>
      <c r="BI114" s="464" t="s">
        <v>839</v>
      </c>
      <c r="BJ114" s="468">
        <v>421010</v>
      </c>
      <c r="BK114" s="527"/>
      <c r="BL114" s="563"/>
      <c r="BM114" s="473">
        <f t="shared" si="33"/>
        <v>0</v>
      </c>
      <c r="BO114" s="464" t="s">
        <v>839</v>
      </c>
      <c r="BP114" s="468">
        <v>421010</v>
      </c>
      <c r="BQ114" s="527"/>
      <c r="BR114" s="563"/>
      <c r="BS114" s="473">
        <f t="shared" si="34"/>
        <v>0</v>
      </c>
    </row>
    <row r="115" spans="1:71" ht="24" customHeight="1" hidden="1">
      <c r="A115" s="464" t="s">
        <v>840</v>
      </c>
      <c r="B115" s="468">
        <v>421011</v>
      </c>
      <c r="C115" s="527"/>
      <c r="D115" s="543"/>
      <c r="E115" s="473">
        <f t="shared" si="23"/>
        <v>0</v>
      </c>
      <c r="F115" s="466"/>
      <c r="G115" s="464" t="s">
        <v>840</v>
      </c>
      <c r="H115" s="468">
        <v>421011</v>
      </c>
      <c r="I115" s="527"/>
      <c r="J115" s="563"/>
      <c r="K115" s="473">
        <f t="shared" si="24"/>
        <v>0</v>
      </c>
      <c r="M115" s="464" t="s">
        <v>840</v>
      </c>
      <c r="N115" s="468">
        <v>421011</v>
      </c>
      <c r="O115" s="527"/>
      <c r="P115" s="563"/>
      <c r="Q115" s="473">
        <f t="shared" si="25"/>
        <v>0</v>
      </c>
      <c r="S115" s="464" t="s">
        <v>840</v>
      </c>
      <c r="T115" s="468">
        <v>421011</v>
      </c>
      <c r="U115" s="527"/>
      <c r="V115" s="563"/>
      <c r="W115" s="473">
        <f t="shared" si="26"/>
        <v>0</v>
      </c>
      <c r="Y115" s="464" t="s">
        <v>840</v>
      </c>
      <c r="Z115" s="468">
        <v>421011</v>
      </c>
      <c r="AA115" s="527"/>
      <c r="AB115" s="563"/>
      <c r="AC115" s="473">
        <f t="shared" si="27"/>
        <v>0</v>
      </c>
      <c r="AE115" s="464" t="s">
        <v>840</v>
      </c>
      <c r="AF115" s="468">
        <v>421011</v>
      </c>
      <c r="AG115" s="527"/>
      <c r="AH115" s="563"/>
      <c r="AI115" s="473">
        <f t="shared" si="28"/>
        <v>0</v>
      </c>
      <c r="AK115" s="464" t="s">
        <v>840</v>
      </c>
      <c r="AL115" s="468">
        <v>421011</v>
      </c>
      <c r="AM115" s="527"/>
      <c r="AN115" s="563"/>
      <c r="AO115" s="473">
        <f t="shared" si="29"/>
        <v>0</v>
      </c>
      <c r="AQ115" s="464" t="s">
        <v>840</v>
      </c>
      <c r="AR115" s="468">
        <v>421011</v>
      </c>
      <c r="AS115" s="527"/>
      <c r="AT115" s="563"/>
      <c r="AU115" s="473">
        <f t="shared" si="30"/>
        <v>0</v>
      </c>
      <c r="AW115" s="464" t="s">
        <v>840</v>
      </c>
      <c r="AX115" s="468">
        <v>421011</v>
      </c>
      <c r="AY115" s="527"/>
      <c r="AZ115" s="563"/>
      <c r="BA115" s="473">
        <f t="shared" si="31"/>
        <v>0</v>
      </c>
      <c r="BC115" s="464" t="s">
        <v>840</v>
      </c>
      <c r="BD115" s="468">
        <v>421011</v>
      </c>
      <c r="BE115" s="527"/>
      <c r="BF115" s="563"/>
      <c r="BG115" s="473">
        <f t="shared" si="32"/>
        <v>0</v>
      </c>
      <c r="BI115" s="464" t="s">
        <v>840</v>
      </c>
      <c r="BJ115" s="468">
        <v>421011</v>
      </c>
      <c r="BK115" s="527"/>
      <c r="BL115" s="563"/>
      <c r="BM115" s="473">
        <f t="shared" si="33"/>
        <v>0</v>
      </c>
      <c r="BO115" s="464" t="s">
        <v>840</v>
      </c>
      <c r="BP115" s="468">
        <v>421011</v>
      </c>
      <c r="BQ115" s="527"/>
      <c r="BR115" s="563"/>
      <c r="BS115" s="473">
        <f t="shared" si="34"/>
        <v>0</v>
      </c>
    </row>
    <row r="116" spans="1:71" ht="24">
      <c r="A116" s="464" t="s">
        <v>841</v>
      </c>
      <c r="B116" s="468">
        <v>421012</v>
      </c>
      <c r="C116" s="527">
        <v>100000</v>
      </c>
      <c r="D116" s="544"/>
      <c r="E116" s="473">
        <f t="shared" si="23"/>
        <v>0</v>
      </c>
      <c r="F116" s="466"/>
      <c r="G116" s="464" t="s">
        <v>841</v>
      </c>
      <c r="H116" s="468">
        <v>421012</v>
      </c>
      <c r="I116" s="527">
        <v>100000</v>
      </c>
      <c r="J116" s="564"/>
      <c r="K116" s="473">
        <f t="shared" si="24"/>
        <v>0</v>
      </c>
      <c r="M116" s="464" t="s">
        <v>841</v>
      </c>
      <c r="N116" s="468">
        <v>421012</v>
      </c>
      <c r="O116" s="527">
        <v>100000</v>
      </c>
      <c r="P116" s="564"/>
      <c r="Q116" s="473">
        <f t="shared" si="25"/>
        <v>0</v>
      </c>
      <c r="S116" s="464" t="s">
        <v>841</v>
      </c>
      <c r="T116" s="468">
        <v>421012</v>
      </c>
      <c r="U116" s="527">
        <v>100000</v>
      </c>
      <c r="V116" s="564">
        <v>21323.62</v>
      </c>
      <c r="W116" s="473">
        <f t="shared" si="26"/>
        <v>21323.62</v>
      </c>
      <c r="Y116" s="464" t="s">
        <v>841</v>
      </c>
      <c r="Z116" s="468">
        <v>421012</v>
      </c>
      <c r="AA116" s="527">
        <v>100000</v>
      </c>
      <c r="AB116" s="564"/>
      <c r="AC116" s="473">
        <f t="shared" si="27"/>
        <v>21323.62</v>
      </c>
      <c r="AE116" s="464" t="s">
        <v>841</v>
      </c>
      <c r="AF116" s="468">
        <v>421012</v>
      </c>
      <c r="AG116" s="527">
        <v>100000</v>
      </c>
      <c r="AH116" s="564"/>
      <c r="AI116" s="473">
        <f t="shared" si="28"/>
        <v>21323.62</v>
      </c>
      <c r="AK116" s="464" t="s">
        <v>841</v>
      </c>
      <c r="AL116" s="468">
        <v>421012</v>
      </c>
      <c r="AM116" s="527">
        <v>100000</v>
      </c>
      <c r="AN116" s="564"/>
      <c r="AO116" s="473">
        <f t="shared" si="29"/>
        <v>21323.62</v>
      </c>
      <c r="AQ116" s="464" t="s">
        <v>841</v>
      </c>
      <c r="AR116" s="468">
        <v>421012</v>
      </c>
      <c r="AS116" s="527">
        <v>100000</v>
      </c>
      <c r="AT116" s="564">
        <v>16442.21</v>
      </c>
      <c r="AU116" s="473">
        <f t="shared" si="30"/>
        <v>37765.83</v>
      </c>
      <c r="AW116" s="464" t="s">
        <v>841</v>
      </c>
      <c r="AX116" s="468">
        <v>421012</v>
      </c>
      <c r="AY116" s="527">
        <v>100000</v>
      </c>
      <c r="AZ116" s="564"/>
      <c r="BA116" s="473">
        <f t="shared" si="31"/>
        <v>37765.83</v>
      </c>
      <c r="BC116" s="464" t="s">
        <v>841</v>
      </c>
      <c r="BD116" s="468">
        <v>421012</v>
      </c>
      <c r="BE116" s="527">
        <v>100000</v>
      </c>
      <c r="BF116" s="564">
        <v>16755.67</v>
      </c>
      <c r="BG116" s="473">
        <f t="shared" si="32"/>
        <v>54521.5</v>
      </c>
      <c r="BI116" s="464" t="s">
        <v>841</v>
      </c>
      <c r="BJ116" s="468">
        <v>421012</v>
      </c>
      <c r="BK116" s="527">
        <v>100000</v>
      </c>
      <c r="BL116" s="564"/>
      <c r="BM116" s="473">
        <f t="shared" si="33"/>
        <v>54521.5</v>
      </c>
      <c r="BO116" s="464" t="s">
        <v>841</v>
      </c>
      <c r="BP116" s="468">
        <v>421012</v>
      </c>
      <c r="BQ116" s="527">
        <v>100000</v>
      </c>
      <c r="BR116" s="564">
        <v>18479.91</v>
      </c>
      <c r="BS116" s="473">
        <f t="shared" si="34"/>
        <v>73001.41</v>
      </c>
    </row>
    <row r="117" spans="1:71" ht="24">
      <c r="A117" s="464" t="s">
        <v>842</v>
      </c>
      <c r="B117" s="468">
        <v>421013</v>
      </c>
      <c r="C117" s="527">
        <v>200000</v>
      </c>
      <c r="D117" s="510"/>
      <c r="E117" s="473">
        <f t="shared" si="23"/>
        <v>0</v>
      </c>
      <c r="F117" s="466"/>
      <c r="G117" s="464" t="s">
        <v>842</v>
      </c>
      <c r="H117" s="468">
        <v>421013</v>
      </c>
      <c r="I117" s="527">
        <v>200000</v>
      </c>
      <c r="J117" s="574">
        <v>45042.67</v>
      </c>
      <c r="K117" s="473">
        <f t="shared" si="24"/>
        <v>45042.67</v>
      </c>
      <c r="M117" s="464" t="s">
        <v>842</v>
      </c>
      <c r="N117" s="468">
        <v>421013</v>
      </c>
      <c r="O117" s="527">
        <v>200000</v>
      </c>
      <c r="P117" s="574"/>
      <c r="Q117" s="473">
        <f t="shared" si="25"/>
        <v>45042.67</v>
      </c>
      <c r="S117" s="464" t="s">
        <v>842</v>
      </c>
      <c r="T117" s="468">
        <v>421013</v>
      </c>
      <c r="U117" s="527">
        <v>200000</v>
      </c>
      <c r="V117" s="574">
        <v>38352.62</v>
      </c>
      <c r="W117" s="473">
        <f t="shared" si="26"/>
        <v>83395.29000000001</v>
      </c>
      <c r="Y117" s="464" t="s">
        <v>842</v>
      </c>
      <c r="Z117" s="468">
        <v>421013</v>
      </c>
      <c r="AA117" s="527">
        <v>200000</v>
      </c>
      <c r="AB117" s="574"/>
      <c r="AC117" s="473">
        <f t="shared" si="27"/>
        <v>83395.29000000001</v>
      </c>
      <c r="AE117" s="464" t="s">
        <v>842</v>
      </c>
      <c r="AF117" s="468">
        <v>421013</v>
      </c>
      <c r="AG117" s="527">
        <v>200000</v>
      </c>
      <c r="AH117" s="574"/>
      <c r="AI117" s="473">
        <f t="shared" si="28"/>
        <v>83395.29000000001</v>
      </c>
      <c r="AK117" s="464" t="s">
        <v>842</v>
      </c>
      <c r="AL117" s="468">
        <v>421013</v>
      </c>
      <c r="AM117" s="527">
        <v>200000</v>
      </c>
      <c r="AN117" s="574">
        <v>31733.84</v>
      </c>
      <c r="AO117" s="473">
        <f t="shared" si="29"/>
        <v>115129.13</v>
      </c>
      <c r="AQ117" s="464" t="s">
        <v>842</v>
      </c>
      <c r="AR117" s="468">
        <v>421013</v>
      </c>
      <c r="AS117" s="527">
        <v>200000</v>
      </c>
      <c r="AT117" s="574"/>
      <c r="AU117" s="473">
        <f t="shared" si="30"/>
        <v>115129.13</v>
      </c>
      <c r="AW117" s="464" t="s">
        <v>842</v>
      </c>
      <c r="AX117" s="468">
        <v>421013</v>
      </c>
      <c r="AY117" s="527">
        <v>200000</v>
      </c>
      <c r="AZ117" s="574"/>
      <c r="BA117" s="473">
        <f t="shared" si="31"/>
        <v>115129.13</v>
      </c>
      <c r="BC117" s="464" t="s">
        <v>842</v>
      </c>
      <c r="BD117" s="468">
        <v>421013</v>
      </c>
      <c r="BE117" s="527">
        <v>200000</v>
      </c>
      <c r="BF117" s="574"/>
      <c r="BG117" s="473">
        <f t="shared" si="32"/>
        <v>115129.13</v>
      </c>
      <c r="BI117" s="464" t="s">
        <v>842</v>
      </c>
      <c r="BJ117" s="468">
        <v>421013</v>
      </c>
      <c r="BK117" s="527">
        <v>200000</v>
      </c>
      <c r="BL117" s="574">
        <v>23508.72</v>
      </c>
      <c r="BM117" s="473">
        <f t="shared" si="33"/>
        <v>138637.84999999998</v>
      </c>
      <c r="BO117" s="464" t="s">
        <v>842</v>
      </c>
      <c r="BP117" s="468">
        <v>421013</v>
      </c>
      <c r="BQ117" s="527">
        <v>200000</v>
      </c>
      <c r="BR117" s="574"/>
      <c r="BS117" s="473">
        <f t="shared" si="34"/>
        <v>138637.84999999998</v>
      </c>
    </row>
    <row r="118" spans="1:71" ht="24" customHeight="1" hidden="1">
      <c r="A118" s="464" t="s">
        <v>843</v>
      </c>
      <c r="B118" s="468">
        <v>421014</v>
      </c>
      <c r="C118" s="527"/>
      <c r="D118" s="543"/>
      <c r="E118" s="473">
        <f t="shared" si="23"/>
        <v>0</v>
      </c>
      <c r="F118" s="466"/>
      <c r="G118" s="464" t="s">
        <v>843</v>
      </c>
      <c r="H118" s="468">
        <v>421014</v>
      </c>
      <c r="I118" s="527"/>
      <c r="J118" s="563"/>
      <c r="K118" s="473">
        <f t="shared" si="24"/>
        <v>0</v>
      </c>
      <c r="M118" s="464" t="s">
        <v>843</v>
      </c>
      <c r="N118" s="468">
        <v>421014</v>
      </c>
      <c r="O118" s="527"/>
      <c r="P118" s="563"/>
      <c r="Q118" s="473">
        <f t="shared" si="25"/>
        <v>0</v>
      </c>
      <c r="S118" s="464" t="s">
        <v>843</v>
      </c>
      <c r="T118" s="468">
        <v>421014</v>
      </c>
      <c r="U118" s="527"/>
      <c r="V118" s="563"/>
      <c r="W118" s="473">
        <f t="shared" si="26"/>
        <v>0</v>
      </c>
      <c r="Y118" s="464" t="s">
        <v>843</v>
      </c>
      <c r="Z118" s="468">
        <v>421014</v>
      </c>
      <c r="AA118" s="527"/>
      <c r="AB118" s="563"/>
      <c r="AC118" s="473">
        <f t="shared" si="27"/>
        <v>0</v>
      </c>
      <c r="AE118" s="464" t="s">
        <v>843</v>
      </c>
      <c r="AF118" s="468">
        <v>421014</v>
      </c>
      <c r="AG118" s="527"/>
      <c r="AH118" s="563"/>
      <c r="AI118" s="473">
        <f t="shared" si="28"/>
        <v>0</v>
      </c>
      <c r="AK118" s="464" t="s">
        <v>843</v>
      </c>
      <c r="AL118" s="468">
        <v>421014</v>
      </c>
      <c r="AM118" s="527"/>
      <c r="AN118" s="563"/>
      <c r="AO118" s="473">
        <f t="shared" si="29"/>
        <v>0</v>
      </c>
      <c r="AQ118" s="464" t="s">
        <v>843</v>
      </c>
      <c r="AR118" s="468">
        <v>421014</v>
      </c>
      <c r="AS118" s="527"/>
      <c r="AT118" s="563"/>
      <c r="AU118" s="473">
        <f t="shared" si="30"/>
        <v>0</v>
      </c>
      <c r="AW118" s="464" t="s">
        <v>843</v>
      </c>
      <c r="AX118" s="468">
        <v>421014</v>
      </c>
      <c r="AY118" s="527"/>
      <c r="AZ118" s="563"/>
      <c r="BA118" s="473">
        <f t="shared" si="31"/>
        <v>0</v>
      </c>
      <c r="BC118" s="464" t="s">
        <v>843</v>
      </c>
      <c r="BD118" s="468">
        <v>421014</v>
      </c>
      <c r="BE118" s="527"/>
      <c r="BF118" s="563"/>
      <c r="BG118" s="473">
        <f t="shared" si="32"/>
        <v>0</v>
      </c>
      <c r="BI118" s="464" t="s">
        <v>843</v>
      </c>
      <c r="BJ118" s="468">
        <v>421014</v>
      </c>
      <c r="BK118" s="527"/>
      <c r="BL118" s="563"/>
      <c r="BM118" s="473">
        <f t="shared" si="33"/>
        <v>0</v>
      </c>
      <c r="BO118" s="464" t="s">
        <v>843</v>
      </c>
      <c r="BP118" s="468">
        <v>421014</v>
      </c>
      <c r="BQ118" s="527"/>
      <c r="BR118" s="563"/>
      <c r="BS118" s="473">
        <f t="shared" si="34"/>
        <v>0</v>
      </c>
    </row>
    <row r="119" spans="1:71" ht="24">
      <c r="A119" s="464" t="s">
        <v>844</v>
      </c>
      <c r="B119" s="468">
        <v>421015</v>
      </c>
      <c r="C119" s="527">
        <v>300000</v>
      </c>
      <c r="D119" s="544"/>
      <c r="E119" s="473">
        <f t="shared" si="23"/>
        <v>0</v>
      </c>
      <c r="F119" s="466"/>
      <c r="G119" s="464" t="s">
        <v>844</v>
      </c>
      <c r="H119" s="468">
        <v>421015</v>
      </c>
      <c r="I119" s="527">
        <v>300000</v>
      </c>
      <c r="J119" s="564">
        <v>320273</v>
      </c>
      <c r="K119" s="473">
        <f t="shared" si="24"/>
        <v>320273</v>
      </c>
      <c r="M119" s="464" t="s">
        <v>844</v>
      </c>
      <c r="N119" s="468">
        <v>421015</v>
      </c>
      <c r="O119" s="527">
        <v>300000</v>
      </c>
      <c r="P119" s="564"/>
      <c r="Q119" s="473">
        <f t="shared" si="25"/>
        <v>320273</v>
      </c>
      <c r="S119" s="464" t="s">
        <v>844</v>
      </c>
      <c r="T119" s="468">
        <v>421015</v>
      </c>
      <c r="U119" s="527">
        <v>300000</v>
      </c>
      <c r="V119" s="564">
        <v>171363</v>
      </c>
      <c r="W119" s="473">
        <f t="shared" si="26"/>
        <v>491636</v>
      </c>
      <c r="Y119" s="464" t="s">
        <v>844</v>
      </c>
      <c r="Z119" s="468">
        <v>421015</v>
      </c>
      <c r="AA119" s="527">
        <v>300000</v>
      </c>
      <c r="AB119" s="564"/>
      <c r="AC119" s="473">
        <f t="shared" si="27"/>
        <v>491636</v>
      </c>
      <c r="AE119" s="464" t="s">
        <v>844</v>
      </c>
      <c r="AF119" s="468">
        <v>421015</v>
      </c>
      <c r="AG119" s="527">
        <v>300000</v>
      </c>
      <c r="AH119" s="564"/>
      <c r="AI119" s="473">
        <f t="shared" si="28"/>
        <v>491636</v>
      </c>
      <c r="AK119" s="464" t="s">
        <v>844</v>
      </c>
      <c r="AL119" s="468">
        <v>421015</v>
      </c>
      <c r="AM119" s="527">
        <v>300000</v>
      </c>
      <c r="AN119" s="564"/>
      <c r="AO119" s="473">
        <f t="shared" si="29"/>
        <v>491636</v>
      </c>
      <c r="AQ119" s="464" t="s">
        <v>844</v>
      </c>
      <c r="AR119" s="468">
        <v>421015</v>
      </c>
      <c r="AS119" s="527">
        <v>300000</v>
      </c>
      <c r="AT119" s="564"/>
      <c r="AU119" s="473">
        <f t="shared" si="30"/>
        <v>491636</v>
      </c>
      <c r="AW119" s="464" t="s">
        <v>844</v>
      </c>
      <c r="AX119" s="468">
        <v>421015</v>
      </c>
      <c r="AY119" s="527">
        <v>300000</v>
      </c>
      <c r="AZ119" s="564">
        <v>532872</v>
      </c>
      <c r="BA119" s="473">
        <f t="shared" si="31"/>
        <v>1024508</v>
      </c>
      <c r="BC119" s="464" t="s">
        <v>844</v>
      </c>
      <c r="BD119" s="468">
        <v>421015</v>
      </c>
      <c r="BE119" s="527">
        <v>300000</v>
      </c>
      <c r="BF119" s="564"/>
      <c r="BG119" s="473">
        <f t="shared" si="32"/>
        <v>1024508</v>
      </c>
      <c r="BI119" s="464" t="s">
        <v>844</v>
      </c>
      <c r="BJ119" s="468">
        <v>421015</v>
      </c>
      <c r="BK119" s="527">
        <v>300000</v>
      </c>
      <c r="BL119" s="564">
        <v>215709</v>
      </c>
      <c r="BM119" s="473">
        <f t="shared" si="33"/>
        <v>1240217</v>
      </c>
      <c r="BO119" s="464" t="s">
        <v>844</v>
      </c>
      <c r="BP119" s="468">
        <v>421015</v>
      </c>
      <c r="BQ119" s="527">
        <v>300000</v>
      </c>
      <c r="BR119" s="564"/>
      <c r="BS119" s="473">
        <f t="shared" si="34"/>
        <v>1240217</v>
      </c>
    </row>
    <row r="120" spans="1:71" ht="24" customHeight="1" hidden="1">
      <c r="A120" s="464" t="s">
        <v>845</v>
      </c>
      <c r="B120" s="468">
        <v>421016</v>
      </c>
      <c r="C120" s="527"/>
      <c r="D120" s="543"/>
      <c r="E120" s="473"/>
      <c r="F120" s="466"/>
      <c r="G120" s="464" t="s">
        <v>845</v>
      </c>
      <c r="H120" s="468">
        <v>421016</v>
      </c>
      <c r="I120" s="527"/>
      <c r="J120" s="563"/>
      <c r="K120" s="473"/>
      <c r="M120" s="464" t="s">
        <v>845</v>
      </c>
      <c r="N120" s="468">
        <v>421016</v>
      </c>
      <c r="O120" s="527"/>
      <c r="P120" s="563"/>
      <c r="Q120" s="473"/>
      <c r="S120" s="464" t="s">
        <v>845</v>
      </c>
      <c r="T120" s="468">
        <v>421016</v>
      </c>
      <c r="U120" s="527"/>
      <c r="V120" s="563"/>
      <c r="W120" s="473"/>
      <c r="Y120" s="464" t="s">
        <v>845</v>
      </c>
      <c r="Z120" s="468">
        <v>421016</v>
      </c>
      <c r="AA120" s="527"/>
      <c r="AB120" s="563"/>
      <c r="AC120" s="473"/>
      <c r="AE120" s="464" t="s">
        <v>845</v>
      </c>
      <c r="AF120" s="468">
        <v>421016</v>
      </c>
      <c r="AG120" s="527"/>
      <c r="AH120" s="563"/>
      <c r="AI120" s="473"/>
      <c r="AK120" s="464" t="s">
        <v>845</v>
      </c>
      <c r="AL120" s="468">
        <v>421016</v>
      </c>
      <c r="AM120" s="527"/>
      <c r="AN120" s="563"/>
      <c r="AO120" s="473"/>
      <c r="AQ120" s="464" t="s">
        <v>845</v>
      </c>
      <c r="AR120" s="468">
        <v>421016</v>
      </c>
      <c r="AS120" s="527"/>
      <c r="AT120" s="563"/>
      <c r="AU120" s="473"/>
      <c r="AW120" s="464" t="s">
        <v>845</v>
      </c>
      <c r="AX120" s="468">
        <v>421016</v>
      </c>
      <c r="AY120" s="527"/>
      <c r="AZ120" s="563"/>
      <c r="BA120" s="473"/>
      <c r="BC120" s="464" t="s">
        <v>845</v>
      </c>
      <c r="BD120" s="468">
        <v>421016</v>
      </c>
      <c r="BE120" s="527"/>
      <c r="BF120" s="563"/>
      <c r="BG120" s="473"/>
      <c r="BI120" s="464" t="s">
        <v>845</v>
      </c>
      <c r="BJ120" s="468">
        <v>421016</v>
      </c>
      <c r="BK120" s="527"/>
      <c r="BL120" s="563"/>
      <c r="BM120" s="473"/>
      <c r="BO120" s="464" t="s">
        <v>845</v>
      </c>
      <c r="BP120" s="468">
        <v>421016</v>
      </c>
      <c r="BQ120" s="527"/>
      <c r="BR120" s="563"/>
      <c r="BS120" s="473"/>
    </row>
    <row r="121" spans="1:71" ht="24" customHeight="1" hidden="1">
      <c r="A121" s="464" t="s">
        <v>846</v>
      </c>
      <c r="B121" s="468">
        <v>421017</v>
      </c>
      <c r="C121" s="527"/>
      <c r="D121" s="543"/>
      <c r="E121" s="473"/>
      <c r="F121" s="466"/>
      <c r="G121" s="464" t="s">
        <v>846</v>
      </c>
      <c r="H121" s="468">
        <v>421017</v>
      </c>
      <c r="I121" s="527"/>
      <c r="J121" s="563"/>
      <c r="K121" s="473"/>
      <c r="M121" s="464" t="s">
        <v>846</v>
      </c>
      <c r="N121" s="468">
        <v>421017</v>
      </c>
      <c r="O121" s="527"/>
      <c r="P121" s="563"/>
      <c r="Q121" s="473"/>
      <c r="S121" s="464" t="s">
        <v>846</v>
      </c>
      <c r="T121" s="468">
        <v>421017</v>
      </c>
      <c r="U121" s="527"/>
      <c r="V121" s="563"/>
      <c r="W121" s="473"/>
      <c r="Y121" s="464" t="s">
        <v>846</v>
      </c>
      <c r="Z121" s="468">
        <v>421017</v>
      </c>
      <c r="AA121" s="527"/>
      <c r="AB121" s="563"/>
      <c r="AC121" s="473"/>
      <c r="AE121" s="464" t="s">
        <v>846</v>
      </c>
      <c r="AF121" s="468">
        <v>421017</v>
      </c>
      <c r="AG121" s="527"/>
      <c r="AH121" s="563"/>
      <c r="AI121" s="473"/>
      <c r="AK121" s="464" t="s">
        <v>846</v>
      </c>
      <c r="AL121" s="468">
        <v>421017</v>
      </c>
      <c r="AM121" s="527"/>
      <c r="AN121" s="563"/>
      <c r="AO121" s="473"/>
      <c r="AQ121" s="464" t="s">
        <v>846</v>
      </c>
      <c r="AR121" s="468">
        <v>421017</v>
      </c>
      <c r="AS121" s="527"/>
      <c r="AT121" s="563"/>
      <c r="AU121" s="473"/>
      <c r="AW121" s="464" t="s">
        <v>846</v>
      </c>
      <c r="AX121" s="468">
        <v>421017</v>
      </c>
      <c r="AY121" s="527"/>
      <c r="AZ121" s="563"/>
      <c r="BA121" s="473"/>
      <c r="BC121" s="464" t="s">
        <v>846</v>
      </c>
      <c r="BD121" s="468">
        <v>421017</v>
      </c>
      <c r="BE121" s="527"/>
      <c r="BF121" s="563"/>
      <c r="BG121" s="473"/>
      <c r="BI121" s="464" t="s">
        <v>846</v>
      </c>
      <c r="BJ121" s="468">
        <v>421017</v>
      </c>
      <c r="BK121" s="527"/>
      <c r="BL121" s="563"/>
      <c r="BM121" s="473"/>
      <c r="BO121" s="464" t="s">
        <v>846</v>
      </c>
      <c r="BP121" s="468">
        <v>421017</v>
      </c>
      <c r="BQ121" s="527"/>
      <c r="BR121" s="563"/>
      <c r="BS121" s="473"/>
    </row>
    <row r="122" spans="1:71" ht="24" customHeight="1" hidden="1">
      <c r="A122" s="464" t="s">
        <v>847</v>
      </c>
      <c r="B122" s="468">
        <v>421018</v>
      </c>
      <c r="C122" s="527"/>
      <c r="D122" s="543"/>
      <c r="E122" s="473"/>
      <c r="F122" s="466"/>
      <c r="G122" s="464" t="s">
        <v>847</v>
      </c>
      <c r="H122" s="468">
        <v>421018</v>
      </c>
      <c r="I122" s="527"/>
      <c r="J122" s="563"/>
      <c r="K122" s="473"/>
      <c r="M122" s="464" t="s">
        <v>847</v>
      </c>
      <c r="N122" s="468">
        <v>421018</v>
      </c>
      <c r="O122" s="527"/>
      <c r="P122" s="563"/>
      <c r="Q122" s="473"/>
      <c r="S122" s="464" t="s">
        <v>847</v>
      </c>
      <c r="T122" s="468">
        <v>421018</v>
      </c>
      <c r="U122" s="527"/>
      <c r="V122" s="563"/>
      <c r="W122" s="473"/>
      <c r="Y122" s="464" t="s">
        <v>847</v>
      </c>
      <c r="Z122" s="468">
        <v>421018</v>
      </c>
      <c r="AA122" s="527"/>
      <c r="AB122" s="563"/>
      <c r="AC122" s="473"/>
      <c r="AE122" s="464" t="s">
        <v>847</v>
      </c>
      <c r="AF122" s="468">
        <v>421018</v>
      </c>
      <c r="AG122" s="527"/>
      <c r="AH122" s="563"/>
      <c r="AI122" s="473"/>
      <c r="AK122" s="464" t="s">
        <v>847</v>
      </c>
      <c r="AL122" s="468">
        <v>421018</v>
      </c>
      <c r="AM122" s="527"/>
      <c r="AN122" s="563"/>
      <c r="AO122" s="473"/>
      <c r="AQ122" s="464" t="s">
        <v>847</v>
      </c>
      <c r="AR122" s="468">
        <v>421018</v>
      </c>
      <c r="AS122" s="527"/>
      <c r="AT122" s="563"/>
      <c r="AU122" s="473"/>
      <c r="AW122" s="464" t="s">
        <v>847</v>
      </c>
      <c r="AX122" s="468">
        <v>421018</v>
      </c>
      <c r="AY122" s="527"/>
      <c r="AZ122" s="563"/>
      <c r="BA122" s="473"/>
      <c r="BC122" s="464" t="s">
        <v>847</v>
      </c>
      <c r="BD122" s="468">
        <v>421018</v>
      </c>
      <c r="BE122" s="527"/>
      <c r="BF122" s="563"/>
      <c r="BG122" s="473"/>
      <c r="BI122" s="464" t="s">
        <v>847</v>
      </c>
      <c r="BJ122" s="468">
        <v>421018</v>
      </c>
      <c r="BK122" s="527"/>
      <c r="BL122" s="563"/>
      <c r="BM122" s="473"/>
      <c r="BO122" s="464" t="s">
        <v>847</v>
      </c>
      <c r="BP122" s="468">
        <v>421018</v>
      </c>
      <c r="BQ122" s="527"/>
      <c r="BR122" s="563"/>
      <c r="BS122" s="473"/>
    </row>
    <row r="123" spans="1:71" ht="24" customHeight="1" hidden="1">
      <c r="A123" s="464" t="s">
        <v>848</v>
      </c>
      <c r="B123" s="468">
        <v>421999</v>
      </c>
      <c r="C123" s="527"/>
      <c r="D123" s="543"/>
      <c r="E123" s="473"/>
      <c r="F123" s="466"/>
      <c r="G123" s="464" t="s">
        <v>848</v>
      </c>
      <c r="H123" s="468">
        <v>421999</v>
      </c>
      <c r="I123" s="527"/>
      <c r="J123" s="563"/>
      <c r="K123" s="473"/>
      <c r="M123" s="464" t="s">
        <v>848</v>
      </c>
      <c r="N123" s="468">
        <v>421999</v>
      </c>
      <c r="O123" s="527"/>
      <c r="P123" s="563"/>
      <c r="Q123" s="473"/>
      <c r="S123" s="464" t="s">
        <v>848</v>
      </c>
      <c r="T123" s="468">
        <v>421999</v>
      </c>
      <c r="U123" s="527"/>
      <c r="V123" s="563"/>
      <c r="W123" s="473"/>
      <c r="Y123" s="464" t="s">
        <v>848</v>
      </c>
      <c r="Z123" s="468">
        <v>421999</v>
      </c>
      <c r="AA123" s="527"/>
      <c r="AB123" s="563"/>
      <c r="AC123" s="473"/>
      <c r="AE123" s="464" t="s">
        <v>848</v>
      </c>
      <c r="AF123" s="468">
        <v>421999</v>
      </c>
      <c r="AG123" s="527"/>
      <c r="AH123" s="563"/>
      <c r="AI123" s="473"/>
      <c r="AK123" s="464" t="s">
        <v>848</v>
      </c>
      <c r="AL123" s="468">
        <v>421999</v>
      </c>
      <c r="AM123" s="527"/>
      <c r="AN123" s="563"/>
      <c r="AO123" s="473"/>
      <c r="AQ123" s="464" t="s">
        <v>848</v>
      </c>
      <c r="AR123" s="468">
        <v>421999</v>
      </c>
      <c r="AS123" s="527"/>
      <c r="AT123" s="563"/>
      <c r="AU123" s="473"/>
      <c r="AW123" s="464" t="s">
        <v>848</v>
      </c>
      <c r="AX123" s="468">
        <v>421999</v>
      </c>
      <c r="AY123" s="527"/>
      <c r="AZ123" s="563"/>
      <c r="BA123" s="473"/>
      <c r="BC123" s="464" t="s">
        <v>848</v>
      </c>
      <c r="BD123" s="468">
        <v>421999</v>
      </c>
      <c r="BE123" s="527"/>
      <c r="BF123" s="563"/>
      <c r="BG123" s="473"/>
      <c r="BI123" s="464" t="s">
        <v>848</v>
      </c>
      <c r="BJ123" s="468">
        <v>421999</v>
      </c>
      <c r="BK123" s="527"/>
      <c r="BL123" s="563"/>
      <c r="BM123" s="473"/>
      <c r="BO123" s="464" t="s">
        <v>848</v>
      </c>
      <c r="BP123" s="468">
        <v>421999</v>
      </c>
      <c r="BQ123" s="527"/>
      <c r="BR123" s="563"/>
      <c r="BS123" s="473"/>
    </row>
    <row r="124" spans="1:71" ht="24" customHeight="1" hidden="1">
      <c r="A124" s="464"/>
      <c r="B124" s="468"/>
      <c r="C124" s="527"/>
      <c r="D124" s="543"/>
      <c r="E124" s="473"/>
      <c r="F124" s="466"/>
      <c r="G124" s="464"/>
      <c r="H124" s="468"/>
      <c r="I124" s="527"/>
      <c r="J124" s="563"/>
      <c r="K124" s="473"/>
      <c r="M124" s="464"/>
      <c r="N124" s="468"/>
      <c r="O124" s="527"/>
      <c r="P124" s="563"/>
      <c r="Q124" s="473"/>
      <c r="S124" s="464"/>
      <c r="T124" s="468"/>
      <c r="U124" s="527"/>
      <c r="V124" s="563"/>
      <c r="W124" s="473"/>
      <c r="Y124" s="464"/>
      <c r="Z124" s="468"/>
      <c r="AA124" s="527"/>
      <c r="AB124" s="563"/>
      <c r="AC124" s="473"/>
      <c r="AE124" s="464"/>
      <c r="AF124" s="468"/>
      <c r="AG124" s="527"/>
      <c r="AH124" s="563"/>
      <c r="AI124" s="473"/>
      <c r="AK124" s="464"/>
      <c r="AL124" s="468"/>
      <c r="AM124" s="527"/>
      <c r="AN124" s="563"/>
      <c r="AO124" s="473"/>
      <c r="AQ124" s="464"/>
      <c r="AR124" s="468"/>
      <c r="AS124" s="527"/>
      <c r="AT124" s="563"/>
      <c r="AU124" s="473"/>
      <c r="AW124" s="464"/>
      <c r="AX124" s="468"/>
      <c r="AY124" s="527"/>
      <c r="AZ124" s="563"/>
      <c r="BA124" s="473"/>
      <c r="BC124" s="464"/>
      <c r="BD124" s="468"/>
      <c r="BE124" s="527"/>
      <c r="BF124" s="563"/>
      <c r="BG124" s="473"/>
      <c r="BI124" s="464"/>
      <c r="BJ124" s="468"/>
      <c r="BK124" s="527"/>
      <c r="BL124" s="563"/>
      <c r="BM124" s="473"/>
      <c r="BO124" s="464"/>
      <c r="BP124" s="468"/>
      <c r="BQ124" s="527"/>
      <c r="BR124" s="563"/>
      <c r="BS124" s="473"/>
    </row>
    <row r="125" spans="1:71" ht="24">
      <c r="A125" s="504" t="s">
        <v>34</v>
      </c>
      <c r="B125" s="539"/>
      <c r="C125" s="528">
        <f>SUM(C105:C123)</f>
        <v>18570000</v>
      </c>
      <c r="D125" s="511">
        <f>SUM(D105:D124)</f>
        <v>1441741.87</v>
      </c>
      <c r="E125" s="499">
        <f>SUM(E105:E123)</f>
        <v>1441741.87</v>
      </c>
      <c r="F125" s="506"/>
      <c r="G125" s="504" t="s">
        <v>34</v>
      </c>
      <c r="H125" s="539"/>
      <c r="I125" s="528">
        <f>SUM(I105:I123)</f>
        <v>18570000</v>
      </c>
      <c r="J125" s="575">
        <f>SUM(J105:J124)</f>
        <v>2998926.88</v>
      </c>
      <c r="K125" s="499">
        <f>SUM(K105:K123)</f>
        <v>4440668.75</v>
      </c>
      <c r="M125" s="504" t="s">
        <v>34</v>
      </c>
      <c r="N125" s="539"/>
      <c r="O125" s="528">
        <f>SUM(O105:O123)</f>
        <v>18570000</v>
      </c>
      <c r="P125" s="575">
        <f>SUM(P105:P124)</f>
        <v>784641.8799999999</v>
      </c>
      <c r="Q125" s="499">
        <f>SUM(Q105:Q123)</f>
        <v>5225310.63</v>
      </c>
      <c r="S125" s="504" t="s">
        <v>34</v>
      </c>
      <c r="T125" s="539"/>
      <c r="U125" s="528">
        <f>SUM(U105:U123)</f>
        <v>18570000</v>
      </c>
      <c r="V125" s="575">
        <f>SUM(V105:V124)</f>
        <v>2730178.24</v>
      </c>
      <c r="W125" s="499">
        <f>SUM(W105:W123)</f>
        <v>7955488.87</v>
      </c>
      <c r="Y125" s="504" t="s">
        <v>34</v>
      </c>
      <c r="Z125" s="539"/>
      <c r="AA125" s="528">
        <f>SUM(AA105:AA123)</f>
        <v>18570000</v>
      </c>
      <c r="AB125" s="575">
        <f>SUM(AB105:AB124)</f>
        <v>1148305.91</v>
      </c>
      <c r="AC125" s="499">
        <f>SUM(AC105:AC123)</f>
        <v>9103794.779999997</v>
      </c>
      <c r="AE125" s="504" t="s">
        <v>34</v>
      </c>
      <c r="AF125" s="539"/>
      <c r="AG125" s="528">
        <f>SUM(AG105:AG123)</f>
        <v>18570000</v>
      </c>
      <c r="AH125" s="575">
        <f>SUM(AH105:AH124)</f>
        <v>2430152.25</v>
      </c>
      <c r="AI125" s="499">
        <f>SUM(AI105:AI123)</f>
        <v>11533947.03</v>
      </c>
      <c r="AK125" s="504" t="s">
        <v>34</v>
      </c>
      <c r="AL125" s="539"/>
      <c r="AM125" s="528">
        <f>SUM(AM105:AM123)</f>
        <v>18570000</v>
      </c>
      <c r="AN125" s="575">
        <f>SUM(AN105:AN124)</f>
        <v>936962.43</v>
      </c>
      <c r="AO125" s="499">
        <f>SUM(AO105:AO123)</f>
        <v>12470909.46</v>
      </c>
      <c r="AQ125" s="504" t="s">
        <v>34</v>
      </c>
      <c r="AR125" s="539"/>
      <c r="AS125" s="528">
        <f>SUM(AS105:AS123)</f>
        <v>18570000</v>
      </c>
      <c r="AT125" s="575">
        <f>SUM(AT105:AT124)</f>
        <v>3014529.3000000003</v>
      </c>
      <c r="AU125" s="499">
        <f>SUM(AU105:AU123)</f>
        <v>15485438.760000002</v>
      </c>
      <c r="AW125" s="504" t="s">
        <v>34</v>
      </c>
      <c r="AX125" s="539"/>
      <c r="AY125" s="528">
        <f>SUM(AY105:AY123)</f>
        <v>18570000</v>
      </c>
      <c r="AZ125" s="575">
        <f>SUM(AZ105:AZ124)</f>
        <v>2830101.5399999996</v>
      </c>
      <c r="BA125" s="499">
        <f>SUM(BA105:BA123)</f>
        <v>18315540.299999997</v>
      </c>
      <c r="BC125" s="504" t="s">
        <v>34</v>
      </c>
      <c r="BD125" s="539"/>
      <c r="BE125" s="528">
        <f>SUM(BE105:BE123)</f>
        <v>18570000</v>
      </c>
      <c r="BF125" s="575">
        <f>SUM(BF105:BF124)</f>
        <v>1019733.16</v>
      </c>
      <c r="BG125" s="499">
        <f>SUM(BG105:BG123)</f>
        <v>19335273.46</v>
      </c>
      <c r="BI125" s="504" t="s">
        <v>34</v>
      </c>
      <c r="BJ125" s="539"/>
      <c r="BK125" s="528">
        <f>SUM(BK105:BK123)</f>
        <v>18570000</v>
      </c>
      <c r="BL125" s="575">
        <f>SUM(BL105:BL124)</f>
        <v>3035971.42</v>
      </c>
      <c r="BM125" s="499">
        <f>SUM(BM105:BM123)</f>
        <v>22371244.880000003</v>
      </c>
      <c r="BN125" s="611"/>
      <c r="BO125" s="504" t="s">
        <v>34</v>
      </c>
      <c r="BP125" s="539"/>
      <c r="BQ125" s="528">
        <f>SUM(BQ105:BQ123)</f>
        <v>18570000</v>
      </c>
      <c r="BR125" s="575">
        <f>SUM(BR105:BR124)</f>
        <v>1881037.9199999997</v>
      </c>
      <c r="BS125" s="499">
        <f>SUM(BS105:BS123)</f>
        <v>24252282.8</v>
      </c>
    </row>
    <row r="126" spans="1:71" ht="24">
      <c r="A126" s="467" t="s">
        <v>490</v>
      </c>
      <c r="B126" s="513">
        <v>430000</v>
      </c>
      <c r="C126" s="536">
        <v>20000000</v>
      </c>
      <c r="D126" s="543"/>
      <c r="E126" s="473"/>
      <c r="F126" s="466"/>
      <c r="G126" s="467" t="s">
        <v>490</v>
      </c>
      <c r="H126" s="513">
        <v>430000</v>
      </c>
      <c r="I126" s="536">
        <v>20000000</v>
      </c>
      <c r="J126" s="563"/>
      <c r="K126" s="473"/>
      <c r="M126" s="467" t="s">
        <v>490</v>
      </c>
      <c r="N126" s="513">
        <v>430000</v>
      </c>
      <c r="O126" s="536">
        <v>20000000</v>
      </c>
      <c r="P126" s="563"/>
      <c r="Q126" s="473"/>
      <c r="S126" s="467" t="s">
        <v>490</v>
      </c>
      <c r="T126" s="513">
        <v>430000</v>
      </c>
      <c r="U126" s="536">
        <v>20000000</v>
      </c>
      <c r="V126" s="563"/>
      <c r="W126" s="473"/>
      <c r="Y126" s="467" t="s">
        <v>490</v>
      </c>
      <c r="Z126" s="513">
        <v>430000</v>
      </c>
      <c r="AA126" s="536">
        <v>20000000</v>
      </c>
      <c r="AB126" s="563"/>
      <c r="AC126" s="473"/>
      <c r="AE126" s="467" t="s">
        <v>490</v>
      </c>
      <c r="AF126" s="513">
        <v>430000</v>
      </c>
      <c r="AG126" s="536">
        <v>20000000</v>
      </c>
      <c r="AH126" s="563"/>
      <c r="AI126" s="473"/>
      <c r="AK126" s="467" t="s">
        <v>490</v>
      </c>
      <c r="AL126" s="513">
        <v>430000</v>
      </c>
      <c r="AM126" s="536">
        <v>20000000</v>
      </c>
      <c r="AN126" s="563"/>
      <c r="AO126" s="473"/>
      <c r="AQ126" s="467" t="s">
        <v>490</v>
      </c>
      <c r="AR126" s="513">
        <v>430000</v>
      </c>
      <c r="AS126" s="536">
        <v>20000000</v>
      </c>
      <c r="AT126" s="563"/>
      <c r="AU126" s="473"/>
      <c r="AW126" s="467" t="s">
        <v>490</v>
      </c>
      <c r="AX126" s="513">
        <v>430000</v>
      </c>
      <c r="AY126" s="536">
        <v>20000000</v>
      </c>
      <c r="AZ126" s="563"/>
      <c r="BA126" s="473"/>
      <c r="BC126" s="467" t="s">
        <v>490</v>
      </c>
      <c r="BD126" s="513">
        <v>430000</v>
      </c>
      <c r="BE126" s="536">
        <v>20000000</v>
      </c>
      <c r="BF126" s="563"/>
      <c r="BG126" s="473"/>
      <c r="BI126" s="467" t="s">
        <v>490</v>
      </c>
      <c r="BJ126" s="513">
        <v>430000</v>
      </c>
      <c r="BK126" s="536">
        <v>20000000</v>
      </c>
      <c r="BL126" s="563"/>
      <c r="BM126" s="473"/>
      <c r="BO126" s="467" t="s">
        <v>490</v>
      </c>
      <c r="BP126" s="513">
        <v>430000</v>
      </c>
      <c r="BQ126" s="536">
        <v>20000000</v>
      </c>
      <c r="BR126" s="563"/>
      <c r="BS126" s="473"/>
    </row>
    <row r="127" spans="1:71" ht="24">
      <c r="A127" s="508" t="s">
        <v>849</v>
      </c>
      <c r="B127" s="468">
        <v>431000</v>
      </c>
      <c r="C127" s="527"/>
      <c r="D127" s="543"/>
      <c r="E127" s="473"/>
      <c r="F127" s="466"/>
      <c r="G127" s="508" t="s">
        <v>849</v>
      </c>
      <c r="H127" s="468">
        <v>431000</v>
      </c>
      <c r="I127" s="527"/>
      <c r="J127" s="563"/>
      <c r="K127" s="473">
        <f>+D127+J127</f>
        <v>0</v>
      </c>
      <c r="M127" s="508" t="s">
        <v>849</v>
      </c>
      <c r="N127" s="468">
        <v>431000</v>
      </c>
      <c r="O127" s="527"/>
      <c r="P127" s="563"/>
      <c r="Q127" s="473">
        <f>+D127+J127+P127</f>
        <v>0</v>
      </c>
      <c r="S127" s="508" t="s">
        <v>849</v>
      </c>
      <c r="T127" s="468">
        <v>431000</v>
      </c>
      <c r="U127" s="527"/>
      <c r="V127" s="563"/>
      <c r="W127" s="473">
        <f>+D127+J127+P127+V127</f>
        <v>0</v>
      </c>
      <c r="Y127" s="508" t="s">
        <v>849</v>
      </c>
      <c r="Z127" s="468">
        <v>431000</v>
      </c>
      <c r="AA127" s="527"/>
      <c r="AB127" s="563"/>
      <c r="AC127" s="473"/>
      <c r="AE127" s="508" t="s">
        <v>849</v>
      </c>
      <c r="AF127" s="468">
        <v>431000</v>
      </c>
      <c r="AG127" s="527"/>
      <c r="AH127" s="563"/>
      <c r="AI127" s="473"/>
      <c r="AK127" s="508" t="s">
        <v>849</v>
      </c>
      <c r="AL127" s="468">
        <v>431000</v>
      </c>
      <c r="AM127" s="527"/>
      <c r="AN127" s="563"/>
      <c r="AO127" s="473"/>
      <c r="AQ127" s="508" t="s">
        <v>849</v>
      </c>
      <c r="AR127" s="468">
        <v>431000</v>
      </c>
      <c r="AS127" s="527"/>
      <c r="AT127" s="563"/>
      <c r="AU127" s="473"/>
      <c r="AW127" s="508" t="s">
        <v>849</v>
      </c>
      <c r="AX127" s="468">
        <v>431000</v>
      </c>
      <c r="AY127" s="527"/>
      <c r="AZ127" s="563"/>
      <c r="BA127" s="473"/>
      <c r="BC127" s="508" t="s">
        <v>849</v>
      </c>
      <c r="BD127" s="468">
        <v>431000</v>
      </c>
      <c r="BE127" s="527"/>
      <c r="BF127" s="563"/>
      <c r="BG127" s="473"/>
      <c r="BI127" s="508" t="s">
        <v>849</v>
      </c>
      <c r="BJ127" s="468">
        <v>431000</v>
      </c>
      <c r="BK127" s="527"/>
      <c r="BL127" s="563"/>
      <c r="BM127" s="473"/>
      <c r="BO127" s="508" t="s">
        <v>849</v>
      </c>
      <c r="BP127" s="468">
        <v>431000</v>
      </c>
      <c r="BQ127" s="527"/>
      <c r="BR127" s="563"/>
      <c r="BS127" s="473"/>
    </row>
    <row r="128" spans="1:71" ht="24">
      <c r="A128" s="464" t="s">
        <v>850</v>
      </c>
      <c r="B128" s="468">
        <v>431001</v>
      </c>
      <c r="C128" s="527"/>
      <c r="D128" s="487"/>
      <c r="E128" s="473"/>
      <c r="F128" s="466"/>
      <c r="G128" s="464" t="s">
        <v>850</v>
      </c>
      <c r="H128" s="468">
        <v>431001</v>
      </c>
      <c r="I128" s="527"/>
      <c r="J128" s="566"/>
      <c r="K128" s="473">
        <f>+D128+J128</f>
        <v>0</v>
      </c>
      <c r="M128" s="464" t="s">
        <v>850</v>
      </c>
      <c r="N128" s="468">
        <v>431001</v>
      </c>
      <c r="O128" s="527"/>
      <c r="P128" s="566"/>
      <c r="Q128" s="473">
        <f>+D128+J128+P128</f>
        <v>0</v>
      </c>
      <c r="S128" s="464" t="s">
        <v>850</v>
      </c>
      <c r="T128" s="468">
        <v>431001</v>
      </c>
      <c r="U128" s="527"/>
      <c r="V128" s="566"/>
      <c r="W128" s="473">
        <f>+D128+J128+P128+V128</f>
        <v>0</v>
      </c>
      <c r="Y128" s="464" t="s">
        <v>850</v>
      </c>
      <c r="Z128" s="468">
        <v>431001</v>
      </c>
      <c r="AA128" s="527"/>
      <c r="AB128" s="566"/>
      <c r="AC128" s="473">
        <f>+J128+P128+V128+AB128+D128</f>
        <v>0</v>
      </c>
      <c r="AE128" s="464" t="s">
        <v>850</v>
      </c>
      <c r="AF128" s="468">
        <v>431001</v>
      </c>
      <c r="AG128" s="527"/>
      <c r="AH128" s="566"/>
      <c r="AI128" s="473">
        <f>+P128+V128+AB128+AH128+J128+D128</f>
        <v>0</v>
      </c>
      <c r="AK128" s="464" t="s">
        <v>850</v>
      </c>
      <c r="AL128" s="468">
        <v>431001</v>
      </c>
      <c r="AM128" s="527"/>
      <c r="AN128" s="566"/>
      <c r="AO128" s="473">
        <f>+V128+AB128+AH128+AN128+P128+J128+D128</f>
        <v>0</v>
      </c>
      <c r="AQ128" s="464" t="s">
        <v>850</v>
      </c>
      <c r="AR128" s="468">
        <v>431001</v>
      </c>
      <c r="AS128" s="527"/>
      <c r="AT128" s="566"/>
      <c r="AU128" s="473">
        <f>+AB128+AH128+AN128+AT128+V128+P128+J128+D128</f>
        <v>0</v>
      </c>
      <c r="AW128" s="464" t="s">
        <v>850</v>
      </c>
      <c r="AX128" s="468">
        <v>431001</v>
      </c>
      <c r="AY128" s="527"/>
      <c r="AZ128" s="566"/>
      <c r="BA128" s="473">
        <f>+AH128+AN128+AT128+AZ128+AB128+V128+P128+J128+D128</f>
        <v>0</v>
      </c>
      <c r="BC128" s="464" t="s">
        <v>850</v>
      </c>
      <c r="BD128" s="468">
        <v>431001</v>
      </c>
      <c r="BE128" s="527"/>
      <c r="BF128" s="566"/>
      <c r="BG128" s="473">
        <f>+AN128+AT128+AZ128+BF128+AH128+AB128+V128+P128+J128+D128</f>
        <v>0</v>
      </c>
      <c r="BI128" s="464" t="s">
        <v>850</v>
      </c>
      <c r="BJ128" s="468">
        <v>431001</v>
      </c>
      <c r="BK128" s="527"/>
      <c r="BL128" s="566"/>
      <c r="BM128" s="473">
        <f>+AT128+AZ128+BF128+BL128+AN128+AH128+AB128+V128+P128+J128+D128</f>
        <v>0</v>
      </c>
      <c r="BO128" s="464" t="s">
        <v>850</v>
      </c>
      <c r="BP128" s="468">
        <v>431001</v>
      </c>
      <c r="BQ128" s="527"/>
      <c r="BR128" s="566"/>
      <c r="BS128" s="473">
        <f>+AZ128+BF128+BL128+BR128+AT128+AN128+AH128+AB128+V128+P128+J128+D128</f>
        <v>0</v>
      </c>
    </row>
    <row r="129" spans="1:71" ht="24">
      <c r="A129" s="464" t="s">
        <v>851</v>
      </c>
      <c r="B129" s="468">
        <v>431002</v>
      </c>
      <c r="C129" s="530">
        <v>20000000</v>
      </c>
      <c r="D129" s="510"/>
      <c r="E129" s="473"/>
      <c r="F129" s="466"/>
      <c r="G129" s="464" t="s">
        <v>851</v>
      </c>
      <c r="H129" s="468">
        <v>431002</v>
      </c>
      <c r="I129" s="530">
        <v>20000000</v>
      </c>
      <c r="J129" s="574">
        <v>1709490</v>
      </c>
      <c r="K129" s="473">
        <f>+D129+J129</f>
        <v>1709490</v>
      </c>
      <c r="M129" s="464" t="s">
        <v>851</v>
      </c>
      <c r="N129" s="468">
        <v>431002</v>
      </c>
      <c r="O129" s="530">
        <v>20000000</v>
      </c>
      <c r="P129" s="574">
        <v>8238607</v>
      </c>
      <c r="Q129" s="473">
        <f>+D129+J129+P129</f>
        <v>9948097</v>
      </c>
      <c r="S129" s="464" t="s">
        <v>851</v>
      </c>
      <c r="T129" s="468">
        <v>431002</v>
      </c>
      <c r="U129" s="530">
        <v>20000000</v>
      </c>
      <c r="V129" s="574">
        <v>1758240</v>
      </c>
      <c r="W129" s="473">
        <f>+D129+J129+P129+V129</f>
        <v>11706337</v>
      </c>
      <c r="Y129" s="464" t="s">
        <v>851</v>
      </c>
      <c r="Z129" s="468">
        <v>431002</v>
      </c>
      <c r="AA129" s="530">
        <v>20000000</v>
      </c>
      <c r="AB129" s="574"/>
      <c r="AC129" s="473">
        <f>+J129+P129+V129+AB129+D129</f>
        <v>11706337</v>
      </c>
      <c r="AE129" s="464" t="s">
        <v>851</v>
      </c>
      <c r="AF129" s="468">
        <v>431002</v>
      </c>
      <c r="AG129" s="530">
        <v>20000000</v>
      </c>
      <c r="AH129" s="574">
        <v>4637476</v>
      </c>
      <c r="AI129" s="473">
        <f>+P129+V129+AB129+AH129+J129+D129</f>
        <v>16343813</v>
      </c>
      <c r="AK129" s="464" t="s">
        <v>851</v>
      </c>
      <c r="AL129" s="468">
        <v>431002</v>
      </c>
      <c r="AM129" s="530">
        <v>20000000</v>
      </c>
      <c r="AN129" s="574">
        <v>1682490</v>
      </c>
      <c r="AO129" s="473">
        <f>+V129+AB129+AH129+AN129+P129+J129+D129</f>
        <v>18026303</v>
      </c>
      <c r="AQ129" s="464" t="s">
        <v>851</v>
      </c>
      <c r="AR129" s="468">
        <v>431002</v>
      </c>
      <c r="AS129" s="530">
        <v>20000000</v>
      </c>
      <c r="AT129" s="574"/>
      <c r="AU129" s="473">
        <f>+AB129+AH129+AN129+AT129+V129+P129+J129+D129</f>
        <v>18026303</v>
      </c>
      <c r="AW129" s="464" t="s">
        <v>851</v>
      </c>
      <c r="AX129" s="468">
        <v>431002</v>
      </c>
      <c r="AY129" s="530">
        <v>20000000</v>
      </c>
      <c r="AZ129" s="574"/>
      <c r="BA129" s="473">
        <f>+AH129+AN129+AT129+AZ129+AB129+V129+P129+J129+D129</f>
        <v>18026303</v>
      </c>
      <c r="BC129" s="464" t="s">
        <v>851</v>
      </c>
      <c r="BD129" s="468">
        <v>431002</v>
      </c>
      <c r="BE129" s="530">
        <v>20000000</v>
      </c>
      <c r="BF129" s="574">
        <f>27000+1656290</f>
        <v>1683290</v>
      </c>
      <c r="BG129" s="473">
        <f>+AN129+AT129+AZ129+BF129+AH129+AB129+V129+P129+J129+D129</f>
        <v>19709593</v>
      </c>
      <c r="BI129" s="464" t="s">
        <v>851</v>
      </c>
      <c r="BJ129" s="468">
        <v>431002</v>
      </c>
      <c r="BK129" s="530">
        <v>20000000</v>
      </c>
      <c r="BL129" s="574"/>
      <c r="BM129" s="473">
        <f>+AT129+AZ129+BF129+BL129+AN129+AH129+AB129+V129+P129+J129+D129</f>
        <v>19709593</v>
      </c>
      <c r="BO129" s="464" t="s">
        <v>851</v>
      </c>
      <c r="BP129" s="468">
        <v>431002</v>
      </c>
      <c r="BQ129" s="530">
        <v>20000000</v>
      </c>
      <c r="BR129" s="574"/>
      <c r="BS129" s="473">
        <f>+AZ129+BF129+BL129+BR129+AT129+AN129+AH129+AB129+V129+P129+J129+D129</f>
        <v>19709593</v>
      </c>
    </row>
    <row r="130" spans="1:71" ht="24">
      <c r="A130" s="464" t="s">
        <v>852</v>
      </c>
      <c r="B130" s="468"/>
      <c r="C130" s="527"/>
      <c r="D130" s="487"/>
      <c r="E130" s="473"/>
      <c r="F130" s="466"/>
      <c r="G130" s="464" t="s">
        <v>852</v>
      </c>
      <c r="H130" s="468"/>
      <c r="I130" s="527"/>
      <c r="J130" s="566"/>
      <c r="K130" s="473"/>
      <c r="M130" s="464" t="s">
        <v>852</v>
      </c>
      <c r="N130" s="468"/>
      <c r="O130" s="527"/>
      <c r="P130" s="566"/>
      <c r="Q130" s="473"/>
      <c r="S130" s="464" t="s">
        <v>852</v>
      </c>
      <c r="T130" s="468"/>
      <c r="U130" s="527"/>
      <c r="V130" s="566"/>
      <c r="W130" s="473"/>
      <c r="Y130" s="464" t="s">
        <v>852</v>
      </c>
      <c r="Z130" s="468"/>
      <c r="AA130" s="527"/>
      <c r="AB130" s="566"/>
      <c r="AC130" s="473"/>
      <c r="AE130" s="464" t="s">
        <v>852</v>
      </c>
      <c r="AF130" s="468"/>
      <c r="AG130" s="527"/>
      <c r="AH130" s="566"/>
      <c r="AI130" s="473"/>
      <c r="AK130" s="464" t="s">
        <v>852</v>
      </c>
      <c r="AL130" s="468"/>
      <c r="AM130" s="527"/>
      <c r="AN130" s="566"/>
      <c r="AO130" s="473"/>
      <c r="AQ130" s="464" t="s">
        <v>852</v>
      </c>
      <c r="AR130" s="468"/>
      <c r="AS130" s="527"/>
      <c r="AT130" s="566"/>
      <c r="AU130" s="473"/>
      <c r="AW130" s="464" t="s">
        <v>852</v>
      </c>
      <c r="AX130" s="468"/>
      <c r="AY130" s="527"/>
      <c r="AZ130" s="566"/>
      <c r="BA130" s="473"/>
      <c r="BC130" s="464" t="s">
        <v>852</v>
      </c>
      <c r="BD130" s="468"/>
      <c r="BE130" s="527"/>
      <c r="BF130" s="566"/>
      <c r="BG130" s="473"/>
      <c r="BI130" s="464" t="s">
        <v>852</v>
      </c>
      <c r="BJ130" s="468"/>
      <c r="BK130" s="527"/>
      <c r="BL130" s="566"/>
      <c r="BM130" s="473"/>
      <c r="BO130" s="464" t="s">
        <v>852</v>
      </c>
      <c r="BP130" s="468"/>
      <c r="BQ130" s="527"/>
      <c r="BR130" s="566"/>
      <c r="BS130" s="473"/>
    </row>
    <row r="131" spans="1:71" ht="24">
      <c r="A131" s="464"/>
      <c r="B131" s="468"/>
      <c r="C131" s="527"/>
      <c r="D131" s="487"/>
      <c r="E131" s="473"/>
      <c r="F131" s="466"/>
      <c r="G131" s="464"/>
      <c r="H131" s="468"/>
      <c r="I131" s="527"/>
      <c r="J131" s="566"/>
      <c r="K131" s="473"/>
      <c r="M131" s="464"/>
      <c r="N131" s="468"/>
      <c r="O131" s="527"/>
      <c r="P131" s="566"/>
      <c r="Q131" s="473"/>
      <c r="S131" s="464"/>
      <c r="T131" s="468"/>
      <c r="U131" s="527"/>
      <c r="V131" s="566"/>
      <c r="W131" s="473"/>
      <c r="Y131" s="464"/>
      <c r="Z131" s="468"/>
      <c r="AA131" s="527"/>
      <c r="AB131" s="566"/>
      <c r="AC131" s="473"/>
      <c r="AE131" s="464"/>
      <c r="AF131" s="468"/>
      <c r="AG131" s="527"/>
      <c r="AH131" s="566"/>
      <c r="AI131" s="473"/>
      <c r="AK131" s="464"/>
      <c r="AL131" s="468"/>
      <c r="AM131" s="527"/>
      <c r="AN131" s="566"/>
      <c r="AO131" s="473"/>
      <c r="AQ131" s="464"/>
      <c r="AR131" s="468"/>
      <c r="AS131" s="527"/>
      <c r="AT131" s="566"/>
      <c r="AU131" s="473"/>
      <c r="AW131" s="464"/>
      <c r="AX131" s="468"/>
      <c r="AY131" s="527"/>
      <c r="AZ131" s="566"/>
      <c r="BA131" s="473"/>
      <c r="BC131" s="464"/>
      <c r="BD131" s="468"/>
      <c r="BE131" s="527"/>
      <c r="BF131" s="566"/>
      <c r="BG131" s="473"/>
      <c r="BI131" s="464"/>
      <c r="BJ131" s="468"/>
      <c r="BK131" s="527"/>
      <c r="BL131" s="566"/>
      <c r="BM131" s="473"/>
      <c r="BO131" s="464" t="s">
        <v>950</v>
      </c>
      <c r="BP131" s="468"/>
      <c r="BQ131" s="527"/>
      <c r="BR131" s="566"/>
      <c r="BS131" s="473">
        <v>28000</v>
      </c>
    </row>
    <row r="132" spans="1:71" ht="24">
      <c r="A132" s="464"/>
      <c r="B132" s="468"/>
      <c r="C132" s="527"/>
      <c r="D132" s="487"/>
      <c r="E132" s="473"/>
      <c r="F132" s="466"/>
      <c r="G132" s="464"/>
      <c r="H132" s="468"/>
      <c r="I132" s="527"/>
      <c r="J132" s="566"/>
      <c r="K132" s="473"/>
      <c r="M132" s="464"/>
      <c r="N132" s="468"/>
      <c r="O132" s="527"/>
      <c r="P132" s="566"/>
      <c r="Q132" s="473"/>
      <c r="S132" s="464"/>
      <c r="T132" s="468"/>
      <c r="U132" s="527"/>
      <c r="V132" s="566"/>
      <c r="W132" s="473"/>
      <c r="Y132" s="464"/>
      <c r="Z132" s="468"/>
      <c r="AA132" s="527"/>
      <c r="AB132" s="566"/>
      <c r="AC132" s="473"/>
      <c r="AE132" s="464"/>
      <c r="AF132" s="468"/>
      <c r="AG132" s="527"/>
      <c r="AH132" s="566"/>
      <c r="AI132" s="473"/>
      <c r="AK132" s="464"/>
      <c r="AL132" s="468"/>
      <c r="AM132" s="527"/>
      <c r="AN132" s="566"/>
      <c r="AO132" s="473"/>
      <c r="AQ132" s="464"/>
      <c r="AR132" s="468"/>
      <c r="AS132" s="527"/>
      <c r="AT132" s="566"/>
      <c r="AU132" s="473"/>
      <c r="AW132" s="464"/>
      <c r="AX132" s="468"/>
      <c r="AY132" s="527"/>
      <c r="AZ132" s="566"/>
      <c r="BA132" s="473"/>
      <c r="BC132" s="464"/>
      <c r="BD132" s="468"/>
      <c r="BE132" s="527"/>
      <c r="BF132" s="566"/>
      <c r="BG132" s="473"/>
      <c r="BI132" s="464"/>
      <c r="BJ132" s="468"/>
      <c r="BK132" s="527"/>
      <c r="BL132" s="566"/>
      <c r="BM132" s="473"/>
      <c r="BO132" s="464" t="s">
        <v>951</v>
      </c>
      <c r="BP132" s="468"/>
      <c r="BQ132" s="527"/>
      <c r="BR132" s="566"/>
      <c r="BS132" s="473"/>
    </row>
    <row r="133" spans="1:71" ht="24">
      <c r="A133" s="475" t="s">
        <v>34</v>
      </c>
      <c r="B133" s="513"/>
      <c r="C133" s="531">
        <f>SUM(C127:C130)</f>
        <v>20000000</v>
      </c>
      <c r="D133" s="512">
        <f>SUM(D129:D130)</f>
        <v>0</v>
      </c>
      <c r="E133" s="499">
        <f>SUM(E129:E130)</f>
        <v>0</v>
      </c>
      <c r="F133" s="466"/>
      <c r="G133" s="475" t="s">
        <v>34</v>
      </c>
      <c r="H133" s="513"/>
      <c r="I133" s="531">
        <f>SUM(I127:I130)</f>
        <v>20000000</v>
      </c>
      <c r="J133" s="570">
        <f>SUM(J129:J130)</f>
        <v>1709490</v>
      </c>
      <c r="K133" s="499">
        <f>SUM(K129:K130)</f>
        <v>1709490</v>
      </c>
      <c r="M133" s="475" t="s">
        <v>34</v>
      </c>
      <c r="N133" s="513"/>
      <c r="O133" s="531">
        <f>SUM(O127:O130)</f>
        <v>20000000</v>
      </c>
      <c r="P133" s="570">
        <f>SUM(P129:P130)</f>
        <v>8238607</v>
      </c>
      <c r="Q133" s="499">
        <f>SUM(Q129:Q130)</f>
        <v>9948097</v>
      </c>
      <c r="S133" s="475" t="s">
        <v>34</v>
      </c>
      <c r="T133" s="513"/>
      <c r="U133" s="531">
        <f>SUM(U127:U130)</f>
        <v>20000000</v>
      </c>
      <c r="V133" s="570">
        <f>SUM(V129:V130)</f>
        <v>1758240</v>
      </c>
      <c r="W133" s="499">
        <f>SUM(W129:W130)</f>
        <v>11706337</v>
      </c>
      <c r="Y133" s="475" t="s">
        <v>34</v>
      </c>
      <c r="Z133" s="513"/>
      <c r="AA133" s="531">
        <f>SUM(AA127:AA130)</f>
        <v>20000000</v>
      </c>
      <c r="AB133" s="570">
        <f>SUM(AB129:AB130)</f>
        <v>0</v>
      </c>
      <c r="AC133" s="499">
        <f>SUM(AC129:AC130)</f>
        <v>11706337</v>
      </c>
      <c r="AE133" s="475" t="s">
        <v>34</v>
      </c>
      <c r="AF133" s="513"/>
      <c r="AG133" s="531">
        <f>SUM(AG127:AG130)</f>
        <v>20000000</v>
      </c>
      <c r="AH133" s="570">
        <f>SUM(AH129:AH130)</f>
        <v>4637476</v>
      </c>
      <c r="AI133" s="499">
        <f>SUM(AI129:AI130)</f>
        <v>16343813</v>
      </c>
      <c r="AK133" s="475" t="s">
        <v>34</v>
      </c>
      <c r="AL133" s="513"/>
      <c r="AM133" s="531">
        <f>SUM(AM127:AM130)</f>
        <v>20000000</v>
      </c>
      <c r="AN133" s="570">
        <f>SUM(AN129:AN130)</f>
        <v>1682490</v>
      </c>
      <c r="AO133" s="499">
        <f>SUM(AO129:AO130)</f>
        <v>18026303</v>
      </c>
      <c r="AQ133" s="475" t="s">
        <v>34</v>
      </c>
      <c r="AR133" s="513"/>
      <c r="AS133" s="531">
        <f>SUM(AS127:AS130)</f>
        <v>20000000</v>
      </c>
      <c r="AT133" s="570">
        <f>SUM(AT129:AT130)</f>
        <v>0</v>
      </c>
      <c r="AU133" s="499">
        <f>SUM(AU129:AU130)</f>
        <v>18026303</v>
      </c>
      <c r="AW133" s="475" t="s">
        <v>34</v>
      </c>
      <c r="AX133" s="513"/>
      <c r="AY133" s="531">
        <f>SUM(AY127:AY130)</f>
        <v>20000000</v>
      </c>
      <c r="AZ133" s="570">
        <f>SUM(AZ129:AZ130)</f>
        <v>0</v>
      </c>
      <c r="BA133" s="499">
        <f>SUM(BA129:BA130)</f>
        <v>18026303</v>
      </c>
      <c r="BC133" s="475" t="s">
        <v>34</v>
      </c>
      <c r="BD133" s="513"/>
      <c r="BE133" s="531">
        <f>SUM(BE127:BE130)</f>
        <v>20000000</v>
      </c>
      <c r="BF133" s="570">
        <f>SUM(BF129:BF130)</f>
        <v>1683290</v>
      </c>
      <c r="BG133" s="499">
        <f>SUM(BG129:BG130)</f>
        <v>19709593</v>
      </c>
      <c r="BI133" s="475" t="s">
        <v>34</v>
      </c>
      <c r="BJ133" s="513"/>
      <c r="BK133" s="531">
        <f>SUM(BK127:BK130)</f>
        <v>20000000</v>
      </c>
      <c r="BL133" s="570">
        <f>SUM(BL129:BL130)</f>
        <v>0</v>
      </c>
      <c r="BM133" s="499">
        <f>SUM(BM129:BM130)</f>
        <v>19709593</v>
      </c>
      <c r="BN133" s="611">
        <f>+BM133-BG133</f>
        <v>0</v>
      </c>
      <c r="BO133" s="475" t="s">
        <v>34</v>
      </c>
      <c r="BP133" s="513"/>
      <c r="BQ133" s="531">
        <f>SUM(BQ127:BQ132)</f>
        <v>20000000</v>
      </c>
      <c r="BR133" s="531">
        <f>SUM(BR127:BR132)</f>
        <v>0</v>
      </c>
      <c r="BS133" s="562">
        <f>SUM(BS127:BS132)</f>
        <v>19737593</v>
      </c>
    </row>
    <row r="134" spans="1:71" ht="24">
      <c r="A134" s="467" t="s">
        <v>500</v>
      </c>
      <c r="B134" s="513">
        <v>440000</v>
      </c>
      <c r="C134" s="527"/>
      <c r="D134" s="543"/>
      <c r="E134" s="473"/>
      <c r="F134" s="466"/>
      <c r="G134" s="467" t="s">
        <v>500</v>
      </c>
      <c r="H134" s="513">
        <v>440000</v>
      </c>
      <c r="I134" s="527"/>
      <c r="J134" s="563"/>
      <c r="K134" s="473">
        <f aca="true" t="shared" si="35" ref="K134:K150">+D134+J134</f>
        <v>0</v>
      </c>
      <c r="M134" s="467" t="s">
        <v>500</v>
      </c>
      <c r="N134" s="513">
        <v>440000</v>
      </c>
      <c r="O134" s="527"/>
      <c r="P134" s="563"/>
      <c r="Q134" s="473"/>
      <c r="S134" s="467" t="s">
        <v>500</v>
      </c>
      <c r="T134" s="513">
        <v>440000</v>
      </c>
      <c r="U134" s="527"/>
      <c r="V134" s="563"/>
      <c r="W134" s="473"/>
      <c r="Y134" s="467" t="s">
        <v>500</v>
      </c>
      <c r="Z134" s="513">
        <v>440000</v>
      </c>
      <c r="AA134" s="527"/>
      <c r="AB134" s="563"/>
      <c r="AC134" s="473"/>
      <c r="AE134" s="467" t="s">
        <v>500</v>
      </c>
      <c r="AF134" s="513">
        <v>440000</v>
      </c>
      <c r="AG134" s="527"/>
      <c r="AH134" s="563"/>
      <c r="AI134" s="473"/>
      <c r="AK134" s="467" t="s">
        <v>500</v>
      </c>
      <c r="AL134" s="513">
        <v>440000</v>
      </c>
      <c r="AM134" s="527"/>
      <c r="AN134" s="563"/>
      <c r="AO134" s="473"/>
      <c r="AQ134" s="467" t="s">
        <v>500</v>
      </c>
      <c r="AR134" s="513">
        <v>440000</v>
      </c>
      <c r="AS134" s="527"/>
      <c r="AT134" s="563"/>
      <c r="AU134" s="473"/>
      <c r="AW134" s="467" t="s">
        <v>500</v>
      </c>
      <c r="AX134" s="513">
        <v>440000</v>
      </c>
      <c r="AY134" s="527"/>
      <c r="AZ134" s="563"/>
      <c r="BA134" s="473"/>
      <c r="BC134" s="467" t="s">
        <v>500</v>
      </c>
      <c r="BD134" s="513">
        <v>440000</v>
      </c>
      <c r="BE134" s="527"/>
      <c r="BF134" s="563"/>
      <c r="BG134" s="473"/>
      <c r="BI134" s="467" t="s">
        <v>500</v>
      </c>
      <c r="BJ134" s="513">
        <v>440000</v>
      </c>
      <c r="BK134" s="527"/>
      <c r="BL134" s="563"/>
      <c r="BM134" s="473"/>
      <c r="BO134" s="467" t="s">
        <v>500</v>
      </c>
      <c r="BP134" s="513">
        <v>440000</v>
      </c>
      <c r="BQ134" s="527"/>
      <c r="BR134" s="563"/>
      <c r="BS134" s="473"/>
    </row>
    <row r="135" spans="1:71" ht="24" customHeight="1">
      <c r="A135" s="464" t="s">
        <v>853</v>
      </c>
      <c r="B135" s="468">
        <v>441000</v>
      </c>
      <c r="C135" s="527"/>
      <c r="D135" s="543"/>
      <c r="E135" s="473"/>
      <c r="F135" s="466"/>
      <c r="G135" s="464" t="s">
        <v>853</v>
      </c>
      <c r="H135" s="468">
        <v>441000</v>
      </c>
      <c r="I135" s="527"/>
      <c r="J135" s="563"/>
      <c r="K135" s="473">
        <f t="shared" si="35"/>
        <v>0</v>
      </c>
      <c r="M135" s="464" t="s">
        <v>853</v>
      </c>
      <c r="N135" s="468">
        <v>441000</v>
      </c>
      <c r="O135" s="527"/>
      <c r="P135" s="563"/>
      <c r="Q135" s="473"/>
      <c r="S135" s="464" t="s">
        <v>853</v>
      </c>
      <c r="T135" s="468">
        <v>441000</v>
      </c>
      <c r="U135" s="527"/>
      <c r="V135" s="563"/>
      <c r="W135" s="473"/>
      <c r="Y135" s="464" t="s">
        <v>853</v>
      </c>
      <c r="Z135" s="468">
        <v>441000</v>
      </c>
      <c r="AA135" s="527"/>
      <c r="AB135" s="563"/>
      <c r="AC135" s="473"/>
      <c r="AE135" s="464" t="s">
        <v>853</v>
      </c>
      <c r="AF135" s="468">
        <v>441000</v>
      </c>
      <c r="AG135" s="527"/>
      <c r="AH135" s="563"/>
      <c r="AI135" s="473"/>
      <c r="AK135" s="464" t="s">
        <v>853</v>
      </c>
      <c r="AL135" s="468">
        <v>441000</v>
      </c>
      <c r="AM135" s="527"/>
      <c r="AN135" s="563"/>
      <c r="AO135" s="473"/>
      <c r="AQ135" s="464" t="s">
        <v>853</v>
      </c>
      <c r="AR135" s="468">
        <v>441000</v>
      </c>
      <c r="AS135" s="527"/>
      <c r="AT135" s="563"/>
      <c r="AU135" s="473"/>
      <c r="AW135" s="464" t="s">
        <v>853</v>
      </c>
      <c r="AX135" s="468">
        <v>441000</v>
      </c>
      <c r="AY135" s="527"/>
      <c r="AZ135" s="563"/>
      <c r="BA135" s="473"/>
      <c r="BC135" s="464" t="s">
        <v>853</v>
      </c>
      <c r="BD135" s="468">
        <v>441000</v>
      </c>
      <c r="BE135" s="527"/>
      <c r="BF135" s="563"/>
      <c r="BG135" s="473"/>
      <c r="BI135" s="464" t="s">
        <v>853</v>
      </c>
      <c r="BJ135" s="468">
        <v>441000</v>
      </c>
      <c r="BK135" s="527"/>
      <c r="BL135" s="563"/>
      <c r="BM135" s="473"/>
      <c r="BO135" s="464" t="s">
        <v>853</v>
      </c>
      <c r="BP135" s="468">
        <v>441000</v>
      </c>
      <c r="BQ135" s="527"/>
      <c r="BR135" s="563"/>
      <c r="BS135" s="473"/>
    </row>
    <row r="136" spans="1:71" ht="24" customHeight="1">
      <c r="A136" s="464" t="s">
        <v>854</v>
      </c>
      <c r="B136" s="468">
        <v>441001</v>
      </c>
      <c r="C136" s="527"/>
      <c r="D136" s="487"/>
      <c r="E136" s="473"/>
      <c r="F136" s="466"/>
      <c r="G136" s="464" t="s">
        <v>854</v>
      </c>
      <c r="H136" s="468">
        <v>441001</v>
      </c>
      <c r="I136" s="527"/>
      <c r="J136" s="566"/>
      <c r="K136" s="473">
        <f t="shared" si="35"/>
        <v>0</v>
      </c>
      <c r="M136" s="464" t="s">
        <v>854</v>
      </c>
      <c r="N136" s="468">
        <v>441001</v>
      </c>
      <c r="O136" s="527"/>
      <c r="P136" s="566"/>
      <c r="Q136" s="473">
        <f>+J136+P136</f>
        <v>0</v>
      </c>
      <c r="S136" s="464" t="s">
        <v>854</v>
      </c>
      <c r="T136" s="468">
        <v>441001</v>
      </c>
      <c r="U136" s="527"/>
      <c r="V136" s="566"/>
      <c r="W136" s="473"/>
      <c r="Y136" s="464" t="s">
        <v>854</v>
      </c>
      <c r="Z136" s="468">
        <v>441001</v>
      </c>
      <c r="AA136" s="527"/>
      <c r="AB136" s="566"/>
      <c r="AC136" s="473"/>
      <c r="AE136" s="464" t="s">
        <v>854</v>
      </c>
      <c r="AF136" s="468">
        <v>441001</v>
      </c>
      <c r="AG136" s="527"/>
      <c r="AH136" s="566"/>
      <c r="AI136" s="473"/>
      <c r="AK136" s="464" t="s">
        <v>854</v>
      </c>
      <c r="AL136" s="468">
        <v>441001</v>
      </c>
      <c r="AM136" s="527"/>
      <c r="AN136" s="566"/>
      <c r="AO136" s="473"/>
      <c r="AQ136" s="464" t="s">
        <v>854</v>
      </c>
      <c r="AR136" s="468">
        <v>441001</v>
      </c>
      <c r="AS136" s="527"/>
      <c r="AT136" s="566"/>
      <c r="AU136" s="473"/>
      <c r="AW136" s="464" t="s">
        <v>854</v>
      </c>
      <c r="AX136" s="468">
        <v>441001</v>
      </c>
      <c r="AY136" s="527"/>
      <c r="AZ136" s="566"/>
      <c r="BA136" s="473"/>
      <c r="BC136" s="464" t="s">
        <v>854</v>
      </c>
      <c r="BD136" s="468">
        <v>441001</v>
      </c>
      <c r="BE136" s="527"/>
      <c r="BF136" s="566"/>
      <c r="BG136" s="473"/>
      <c r="BI136" s="464" t="s">
        <v>854</v>
      </c>
      <c r="BJ136" s="468">
        <v>441001</v>
      </c>
      <c r="BK136" s="527"/>
      <c r="BL136" s="566"/>
      <c r="BM136" s="473"/>
      <c r="BO136" s="464" t="s">
        <v>854</v>
      </c>
      <c r="BP136" s="468">
        <v>441001</v>
      </c>
      <c r="BQ136" s="527"/>
      <c r="BR136" s="566"/>
      <c r="BS136" s="473"/>
    </row>
    <row r="137" spans="1:71" ht="24" customHeight="1">
      <c r="A137" s="464" t="s">
        <v>855</v>
      </c>
      <c r="B137" s="468"/>
      <c r="C137" s="527"/>
      <c r="D137" s="487"/>
      <c r="E137" s="473"/>
      <c r="F137" s="466"/>
      <c r="G137" s="464" t="s">
        <v>855</v>
      </c>
      <c r="H137" s="468"/>
      <c r="I137" s="527"/>
      <c r="J137" s="566">
        <v>28000</v>
      </c>
      <c r="K137" s="473">
        <f t="shared" si="35"/>
        <v>28000</v>
      </c>
      <c r="M137" s="464" t="s">
        <v>855</v>
      </c>
      <c r="N137" s="468"/>
      <c r="O137" s="527"/>
      <c r="P137" s="566"/>
      <c r="Q137" s="473">
        <f aca="true" t="shared" si="36" ref="Q137:Q151">+D137+J137+P137</f>
        <v>28000</v>
      </c>
      <c r="S137" s="464" t="s">
        <v>855</v>
      </c>
      <c r="T137" s="468"/>
      <c r="U137" s="527"/>
      <c r="V137" s="566"/>
      <c r="W137" s="473">
        <f aca="true" t="shared" si="37" ref="W137:W151">+D137+J137+P137+V137</f>
        <v>28000</v>
      </c>
      <c r="Y137" s="464" t="s">
        <v>855</v>
      </c>
      <c r="Z137" s="468"/>
      <c r="AA137" s="527"/>
      <c r="AB137" s="566"/>
      <c r="AC137" s="473">
        <f aca="true" t="shared" si="38" ref="AC137:AC151">+J137+P137+V137+AB137+D137</f>
        <v>28000</v>
      </c>
      <c r="AE137" s="464" t="s">
        <v>855</v>
      </c>
      <c r="AF137" s="468"/>
      <c r="AG137" s="527"/>
      <c r="AH137" s="566"/>
      <c r="AI137" s="473">
        <f aca="true" t="shared" si="39" ref="AI137:AI152">+P137+V137+AB137+AH137+J137+D137</f>
        <v>28000</v>
      </c>
      <c r="AK137" s="464" t="s">
        <v>855</v>
      </c>
      <c r="AL137" s="468"/>
      <c r="AM137" s="527"/>
      <c r="AN137" s="566"/>
      <c r="AO137" s="473">
        <f aca="true" t="shared" si="40" ref="AO137:AO153">+V137+AB137+AH137+AN137+P137+J137+D137</f>
        <v>28000</v>
      </c>
      <c r="AQ137" s="464" t="s">
        <v>855</v>
      </c>
      <c r="AR137" s="468"/>
      <c r="AS137" s="527"/>
      <c r="AT137" s="566"/>
      <c r="AU137" s="473">
        <f aca="true" t="shared" si="41" ref="AU137:AU153">+AB137+AH137+AN137+AT137+V137+P137+J137+D137</f>
        <v>28000</v>
      </c>
      <c r="AW137" s="464" t="s">
        <v>855</v>
      </c>
      <c r="AX137" s="468"/>
      <c r="AY137" s="527"/>
      <c r="AZ137" s="566"/>
      <c r="BA137" s="473">
        <f aca="true" t="shared" si="42" ref="BA137:BA153">+AH137+AN137+AT137+AZ137+AB137+V137+P137+J137+D137</f>
        <v>28000</v>
      </c>
      <c r="BC137" s="464" t="s">
        <v>855</v>
      </c>
      <c r="BD137" s="468"/>
      <c r="BE137" s="527"/>
      <c r="BF137" s="566"/>
      <c r="BG137" s="473">
        <f aca="true" t="shared" si="43" ref="BG137:BG153">+AN137+AT137+AZ137+BF137+AH137+AB137+V137+P137+J137+D137</f>
        <v>28000</v>
      </c>
      <c r="BI137" s="464" t="s">
        <v>855</v>
      </c>
      <c r="BJ137" s="468"/>
      <c r="BK137" s="527"/>
      <c r="BL137" s="566"/>
      <c r="BM137" s="473">
        <f aca="true" t="shared" si="44" ref="BM137:BM153">+AT137+AZ137+BF137+BL137+AN137+AH137+AB137+V137+P137+J137+D137</f>
        <v>28000</v>
      </c>
      <c r="BO137" s="464" t="s">
        <v>855</v>
      </c>
      <c r="BP137" s="468"/>
      <c r="BQ137" s="527"/>
      <c r="BR137" s="566"/>
      <c r="BS137" s="473"/>
    </row>
    <row r="138" spans="1:71" ht="24" customHeight="1">
      <c r="A138" s="464" t="s">
        <v>856</v>
      </c>
      <c r="B138" s="468"/>
      <c r="C138" s="527"/>
      <c r="D138" s="487"/>
      <c r="E138" s="473"/>
      <c r="F138" s="466"/>
      <c r="G138" s="464" t="s">
        <v>856</v>
      </c>
      <c r="H138" s="468"/>
      <c r="I138" s="527"/>
      <c r="J138" s="566"/>
      <c r="K138" s="473">
        <f t="shared" si="35"/>
        <v>0</v>
      </c>
      <c r="M138" s="464" t="s">
        <v>856</v>
      </c>
      <c r="N138" s="468"/>
      <c r="O138" s="527"/>
      <c r="P138" s="566"/>
      <c r="Q138" s="473">
        <f t="shared" si="36"/>
        <v>0</v>
      </c>
      <c r="S138" s="464" t="s">
        <v>856</v>
      </c>
      <c r="T138" s="468"/>
      <c r="U138" s="527"/>
      <c r="V138" s="566"/>
      <c r="W138" s="473">
        <f t="shared" si="37"/>
        <v>0</v>
      </c>
      <c r="Y138" s="464" t="s">
        <v>856</v>
      </c>
      <c r="Z138" s="468"/>
      <c r="AA138" s="527"/>
      <c r="AB138" s="566"/>
      <c r="AC138" s="473">
        <f t="shared" si="38"/>
        <v>0</v>
      </c>
      <c r="AE138" s="464" t="s">
        <v>856</v>
      </c>
      <c r="AF138" s="468"/>
      <c r="AG138" s="527"/>
      <c r="AH138" s="566"/>
      <c r="AI138" s="473">
        <f t="shared" si="39"/>
        <v>0</v>
      </c>
      <c r="AK138" s="464" t="s">
        <v>856</v>
      </c>
      <c r="AL138" s="468"/>
      <c r="AM138" s="527"/>
      <c r="AN138" s="566"/>
      <c r="AO138" s="473">
        <f t="shared" si="40"/>
        <v>0</v>
      </c>
      <c r="AQ138" s="464" t="s">
        <v>856</v>
      </c>
      <c r="AR138" s="468"/>
      <c r="AS138" s="527"/>
      <c r="AT138" s="566"/>
      <c r="AU138" s="473">
        <f t="shared" si="41"/>
        <v>0</v>
      </c>
      <c r="AW138" s="464" t="s">
        <v>856</v>
      </c>
      <c r="AX138" s="468"/>
      <c r="AY138" s="527"/>
      <c r="AZ138" s="566"/>
      <c r="BA138" s="473">
        <f t="shared" si="42"/>
        <v>0</v>
      </c>
      <c r="BC138" s="464" t="s">
        <v>856</v>
      </c>
      <c r="BD138" s="468"/>
      <c r="BE138" s="527"/>
      <c r="BF138" s="566"/>
      <c r="BG138" s="473">
        <f t="shared" si="43"/>
        <v>0</v>
      </c>
      <c r="BI138" s="464" t="s">
        <v>856</v>
      </c>
      <c r="BJ138" s="468"/>
      <c r="BK138" s="527"/>
      <c r="BL138" s="566"/>
      <c r="BM138" s="473">
        <f t="shared" si="44"/>
        <v>0</v>
      </c>
      <c r="BO138" s="464" t="s">
        <v>856</v>
      </c>
      <c r="BP138" s="468"/>
      <c r="BQ138" s="527"/>
      <c r="BR138" s="566"/>
      <c r="BS138" s="473">
        <f aca="true" t="shared" si="45" ref="BS138:BS153">+AZ138+BF138+BL138+BR138+AT138+AN138+AH138+AB138+V138+P138+J138+D138</f>
        <v>0</v>
      </c>
    </row>
    <row r="139" spans="1:71" ht="24" customHeight="1">
      <c r="A139" s="464" t="s">
        <v>857</v>
      </c>
      <c r="B139" s="468"/>
      <c r="C139" s="527"/>
      <c r="D139" s="487"/>
      <c r="E139" s="473"/>
      <c r="F139" s="466"/>
      <c r="G139" s="464" t="s">
        <v>857</v>
      </c>
      <c r="H139" s="468"/>
      <c r="I139" s="527"/>
      <c r="J139" s="566"/>
      <c r="K139" s="473">
        <f t="shared" si="35"/>
        <v>0</v>
      </c>
      <c r="M139" s="464" t="s">
        <v>857</v>
      </c>
      <c r="N139" s="468"/>
      <c r="O139" s="527"/>
      <c r="P139" s="566"/>
      <c r="Q139" s="473">
        <f t="shared" si="36"/>
        <v>0</v>
      </c>
      <c r="S139" s="464" t="s">
        <v>857</v>
      </c>
      <c r="T139" s="468"/>
      <c r="U139" s="527"/>
      <c r="V139" s="566"/>
      <c r="W139" s="473">
        <f t="shared" si="37"/>
        <v>0</v>
      </c>
      <c r="Y139" s="464" t="s">
        <v>857</v>
      </c>
      <c r="Z139" s="468"/>
      <c r="AA139" s="527"/>
      <c r="AB139" s="566"/>
      <c r="AC139" s="473">
        <f t="shared" si="38"/>
        <v>0</v>
      </c>
      <c r="AE139" s="464" t="s">
        <v>857</v>
      </c>
      <c r="AF139" s="468"/>
      <c r="AG139" s="527"/>
      <c r="AH139" s="566"/>
      <c r="AI139" s="473">
        <f t="shared" si="39"/>
        <v>0</v>
      </c>
      <c r="AK139" s="464" t="s">
        <v>857</v>
      </c>
      <c r="AL139" s="468"/>
      <c r="AM139" s="527"/>
      <c r="AN139" s="566"/>
      <c r="AO139" s="473">
        <f t="shared" si="40"/>
        <v>0</v>
      </c>
      <c r="AQ139" s="464" t="s">
        <v>857</v>
      </c>
      <c r="AR139" s="468"/>
      <c r="AS139" s="527"/>
      <c r="AT139" s="566"/>
      <c r="AU139" s="473">
        <f t="shared" si="41"/>
        <v>0</v>
      </c>
      <c r="AW139" s="464" t="s">
        <v>857</v>
      </c>
      <c r="AX139" s="468"/>
      <c r="AY139" s="527"/>
      <c r="AZ139" s="566"/>
      <c r="BA139" s="473">
        <f t="shared" si="42"/>
        <v>0</v>
      </c>
      <c r="BC139" s="464" t="s">
        <v>857</v>
      </c>
      <c r="BD139" s="468"/>
      <c r="BE139" s="527"/>
      <c r="BF139" s="566"/>
      <c r="BG139" s="473">
        <f t="shared" si="43"/>
        <v>0</v>
      </c>
      <c r="BI139" s="464" t="s">
        <v>857</v>
      </c>
      <c r="BJ139" s="468"/>
      <c r="BK139" s="527"/>
      <c r="BL139" s="566"/>
      <c r="BM139" s="473">
        <f t="shared" si="44"/>
        <v>0</v>
      </c>
      <c r="BO139" s="464" t="s">
        <v>857</v>
      </c>
      <c r="BP139" s="468"/>
      <c r="BQ139" s="527"/>
      <c r="BR139" s="566"/>
      <c r="BS139" s="473">
        <f t="shared" si="45"/>
        <v>0</v>
      </c>
    </row>
    <row r="140" spans="1:71" ht="24" customHeight="1">
      <c r="A140" s="464"/>
      <c r="B140" s="468"/>
      <c r="C140" s="527"/>
      <c r="D140" s="487"/>
      <c r="E140" s="473"/>
      <c r="F140" s="466"/>
      <c r="G140" s="464" t="s">
        <v>880</v>
      </c>
      <c r="H140" s="468"/>
      <c r="I140" s="527"/>
      <c r="J140" s="566">
        <v>271890</v>
      </c>
      <c r="K140" s="473">
        <f t="shared" si="35"/>
        <v>271890</v>
      </c>
      <c r="M140" s="464" t="s">
        <v>880</v>
      </c>
      <c r="N140" s="468"/>
      <c r="O140" s="527"/>
      <c r="P140" s="566"/>
      <c r="Q140" s="473">
        <f t="shared" si="36"/>
        <v>271890</v>
      </c>
      <c r="S140" s="464" t="s">
        <v>880</v>
      </c>
      <c r="T140" s="468"/>
      <c r="U140" s="527"/>
      <c r="V140" s="566"/>
      <c r="W140" s="473">
        <f t="shared" si="37"/>
        <v>271890</v>
      </c>
      <c r="Y140" s="464" t="s">
        <v>880</v>
      </c>
      <c r="Z140" s="468"/>
      <c r="AA140" s="527"/>
      <c r="AB140" s="566">
        <v>271890</v>
      </c>
      <c r="AC140" s="473">
        <f t="shared" si="38"/>
        <v>543780</v>
      </c>
      <c r="AE140" s="464" t="s">
        <v>880</v>
      </c>
      <c r="AF140" s="468"/>
      <c r="AG140" s="527"/>
      <c r="AH140" s="566"/>
      <c r="AI140" s="473">
        <f t="shared" si="39"/>
        <v>543780</v>
      </c>
      <c r="AK140" s="464" t="s">
        <v>880</v>
      </c>
      <c r="AL140" s="468"/>
      <c r="AM140" s="527"/>
      <c r="AN140" s="566">
        <v>515597</v>
      </c>
      <c r="AO140" s="473">
        <f t="shared" si="40"/>
        <v>1059377</v>
      </c>
      <c r="AQ140" s="464" t="s">
        <v>880</v>
      </c>
      <c r="AR140" s="468"/>
      <c r="AS140" s="527"/>
      <c r="AT140" s="566"/>
      <c r="AU140" s="473">
        <f t="shared" si="41"/>
        <v>1059377</v>
      </c>
      <c r="AW140" s="464" t="s">
        <v>880</v>
      </c>
      <c r="AX140" s="468"/>
      <c r="AY140" s="527"/>
      <c r="AZ140" s="566">
        <v>125865.48</v>
      </c>
      <c r="BA140" s="473">
        <f t="shared" si="42"/>
        <v>1185242.48</v>
      </c>
      <c r="BC140" s="464" t="s">
        <v>880</v>
      </c>
      <c r="BD140" s="468"/>
      <c r="BE140" s="527"/>
      <c r="BF140" s="566"/>
      <c r="BG140" s="473">
        <f t="shared" si="43"/>
        <v>1185242.48</v>
      </c>
      <c r="BI140" s="464" t="s">
        <v>880</v>
      </c>
      <c r="BJ140" s="468"/>
      <c r="BK140" s="527"/>
      <c r="BL140" s="566">
        <v>139260</v>
      </c>
      <c r="BM140" s="473">
        <f t="shared" si="44"/>
        <v>1324502.48</v>
      </c>
      <c r="BO140" s="464" t="s">
        <v>880</v>
      </c>
      <c r="BP140" s="468"/>
      <c r="BQ140" s="527"/>
      <c r="BR140" s="566">
        <v>278520</v>
      </c>
      <c r="BS140" s="473">
        <f t="shared" si="45"/>
        <v>1603022.48</v>
      </c>
    </row>
    <row r="141" spans="1:71" ht="24" customHeight="1">
      <c r="A141" s="464"/>
      <c r="B141" s="468"/>
      <c r="C141" s="527"/>
      <c r="D141" s="487"/>
      <c r="E141" s="473"/>
      <c r="F141" s="466"/>
      <c r="G141" s="464" t="s">
        <v>881</v>
      </c>
      <c r="H141" s="468"/>
      <c r="I141" s="527"/>
      <c r="J141" s="566">
        <v>305055</v>
      </c>
      <c r="K141" s="473">
        <f t="shared" si="35"/>
        <v>305055</v>
      </c>
      <c r="M141" s="464" t="s">
        <v>881</v>
      </c>
      <c r="N141" s="468"/>
      <c r="O141" s="527"/>
      <c r="P141" s="566">
        <v>2025</v>
      </c>
      <c r="Q141" s="473">
        <f t="shared" si="36"/>
        <v>307080</v>
      </c>
      <c r="S141" s="464" t="s">
        <v>881</v>
      </c>
      <c r="T141" s="468"/>
      <c r="U141" s="527"/>
      <c r="V141" s="566"/>
      <c r="W141" s="473">
        <f t="shared" si="37"/>
        <v>307080</v>
      </c>
      <c r="Y141" s="464" t="s">
        <v>881</v>
      </c>
      <c r="Z141" s="468"/>
      <c r="AA141" s="527"/>
      <c r="AB141" s="566">
        <v>102360</v>
      </c>
      <c r="AC141" s="473">
        <f t="shared" si="38"/>
        <v>409440</v>
      </c>
      <c r="AE141" s="464" t="s">
        <v>881</v>
      </c>
      <c r="AF141" s="468"/>
      <c r="AG141" s="527"/>
      <c r="AH141" s="566">
        <v>204720</v>
      </c>
      <c r="AI141" s="473">
        <f t="shared" si="39"/>
        <v>614160</v>
      </c>
      <c r="AK141" s="464" t="s">
        <v>881</v>
      </c>
      <c r="AL141" s="468"/>
      <c r="AM141" s="527"/>
      <c r="AN141" s="566">
        <v>113966</v>
      </c>
      <c r="AO141" s="473">
        <f t="shared" si="40"/>
        <v>728126</v>
      </c>
      <c r="AQ141" s="464" t="s">
        <v>881</v>
      </c>
      <c r="AR141" s="468"/>
      <c r="AS141" s="527"/>
      <c r="AT141" s="566"/>
      <c r="AU141" s="473">
        <f t="shared" si="41"/>
        <v>728126</v>
      </c>
      <c r="AW141" s="464" t="s">
        <v>881</v>
      </c>
      <c r="AX141" s="468"/>
      <c r="AY141" s="527"/>
      <c r="AZ141" s="566"/>
      <c r="BA141" s="473">
        <f t="shared" si="42"/>
        <v>728126</v>
      </c>
      <c r="BC141" s="464" t="s">
        <v>881</v>
      </c>
      <c r="BD141" s="468"/>
      <c r="BE141" s="527"/>
      <c r="BF141" s="566"/>
      <c r="BG141" s="473">
        <f t="shared" si="43"/>
        <v>728126</v>
      </c>
      <c r="BI141" s="464" t="s">
        <v>881</v>
      </c>
      <c r="BJ141" s="468"/>
      <c r="BK141" s="527"/>
      <c r="BL141" s="566">
        <v>66195</v>
      </c>
      <c r="BM141" s="473">
        <f t="shared" si="44"/>
        <v>794321</v>
      </c>
      <c r="BO141" s="464" t="s">
        <v>881</v>
      </c>
      <c r="BP141" s="468"/>
      <c r="BQ141" s="527"/>
      <c r="BR141" s="566">
        <v>65445</v>
      </c>
      <c r="BS141" s="473">
        <f t="shared" si="45"/>
        <v>859766</v>
      </c>
    </row>
    <row r="142" spans="1:71" ht="24" customHeight="1">
      <c r="A142" s="464"/>
      <c r="B142" s="468"/>
      <c r="C142" s="527"/>
      <c r="D142" s="487"/>
      <c r="E142" s="473"/>
      <c r="F142" s="466"/>
      <c r="G142" s="464" t="s">
        <v>882</v>
      </c>
      <c r="H142" s="468"/>
      <c r="I142" s="527"/>
      <c r="J142" s="566">
        <v>16875</v>
      </c>
      <c r="K142" s="473">
        <f t="shared" si="35"/>
        <v>16875</v>
      </c>
      <c r="M142" s="464" t="s">
        <v>882</v>
      </c>
      <c r="N142" s="468"/>
      <c r="O142" s="527"/>
      <c r="P142" s="566">
        <v>-2025</v>
      </c>
      <c r="Q142" s="473">
        <f t="shared" si="36"/>
        <v>14850</v>
      </c>
      <c r="S142" s="464" t="s">
        <v>882</v>
      </c>
      <c r="T142" s="468"/>
      <c r="U142" s="527"/>
      <c r="V142" s="566"/>
      <c r="W142" s="473">
        <f t="shared" si="37"/>
        <v>14850</v>
      </c>
      <c r="Y142" s="464" t="s">
        <v>882</v>
      </c>
      <c r="Z142" s="468"/>
      <c r="AA142" s="527"/>
      <c r="AB142" s="566">
        <v>4950</v>
      </c>
      <c r="AC142" s="473">
        <f t="shared" si="38"/>
        <v>19800</v>
      </c>
      <c r="AE142" s="464" t="s">
        <v>882</v>
      </c>
      <c r="AF142" s="468"/>
      <c r="AG142" s="527"/>
      <c r="AH142" s="566">
        <v>9900</v>
      </c>
      <c r="AI142" s="473">
        <f t="shared" si="39"/>
        <v>29700</v>
      </c>
      <c r="AK142" s="464" t="s">
        <v>882</v>
      </c>
      <c r="AL142" s="468"/>
      <c r="AM142" s="527"/>
      <c r="AN142" s="566">
        <v>11025</v>
      </c>
      <c r="AO142" s="473">
        <f t="shared" si="40"/>
        <v>40725</v>
      </c>
      <c r="AQ142" s="464" t="s">
        <v>882</v>
      </c>
      <c r="AR142" s="468"/>
      <c r="AS142" s="527"/>
      <c r="AT142" s="566"/>
      <c r="AU142" s="473">
        <f t="shared" si="41"/>
        <v>40725</v>
      </c>
      <c r="AW142" s="464" t="s">
        <v>882</v>
      </c>
      <c r="AX142" s="468"/>
      <c r="AY142" s="527"/>
      <c r="AZ142" s="566"/>
      <c r="BA142" s="473">
        <f t="shared" si="42"/>
        <v>40725</v>
      </c>
      <c r="BC142" s="464" t="s">
        <v>882</v>
      </c>
      <c r="BD142" s="468"/>
      <c r="BE142" s="527"/>
      <c r="BF142" s="566"/>
      <c r="BG142" s="473">
        <f t="shared" si="43"/>
        <v>40725</v>
      </c>
      <c r="BI142" s="464" t="s">
        <v>882</v>
      </c>
      <c r="BJ142" s="468"/>
      <c r="BK142" s="527"/>
      <c r="BL142" s="566">
        <v>2475</v>
      </c>
      <c r="BM142" s="473">
        <f t="shared" si="44"/>
        <v>43200</v>
      </c>
      <c r="BN142" s="535"/>
      <c r="BO142" s="464" t="s">
        <v>882</v>
      </c>
      <c r="BP142" s="468"/>
      <c r="BQ142" s="527"/>
      <c r="BR142" s="566">
        <v>3225</v>
      </c>
      <c r="BS142" s="473">
        <f t="shared" si="45"/>
        <v>46425</v>
      </c>
    </row>
    <row r="143" spans="1:71" ht="24" customHeight="1">
      <c r="A143" s="464"/>
      <c r="B143" s="468"/>
      <c r="C143" s="527"/>
      <c r="D143" s="487"/>
      <c r="E143" s="473"/>
      <c r="F143" s="466"/>
      <c r="G143" s="464" t="s">
        <v>883</v>
      </c>
      <c r="H143" s="468"/>
      <c r="I143" s="527"/>
      <c r="J143" s="566">
        <v>57300</v>
      </c>
      <c r="K143" s="473">
        <f t="shared" si="35"/>
        <v>57300</v>
      </c>
      <c r="M143" s="464" t="s">
        <v>883</v>
      </c>
      <c r="N143" s="468"/>
      <c r="O143" s="527"/>
      <c r="P143" s="566"/>
      <c r="Q143" s="473">
        <f t="shared" si="36"/>
        <v>57300</v>
      </c>
      <c r="S143" s="464" t="s">
        <v>883</v>
      </c>
      <c r="T143" s="468"/>
      <c r="U143" s="527"/>
      <c r="V143" s="566"/>
      <c r="W143" s="473">
        <f t="shared" si="37"/>
        <v>57300</v>
      </c>
      <c r="Y143" s="464" t="s">
        <v>883</v>
      </c>
      <c r="Z143" s="468"/>
      <c r="AA143" s="527"/>
      <c r="AB143" s="566"/>
      <c r="AC143" s="473">
        <f t="shared" si="38"/>
        <v>57300</v>
      </c>
      <c r="AE143" s="464" t="s">
        <v>883</v>
      </c>
      <c r="AF143" s="468"/>
      <c r="AG143" s="527"/>
      <c r="AH143" s="566"/>
      <c r="AI143" s="473">
        <f t="shared" si="39"/>
        <v>57300</v>
      </c>
      <c r="AK143" s="464" t="s">
        <v>883</v>
      </c>
      <c r="AL143" s="468"/>
      <c r="AM143" s="527"/>
      <c r="AN143" s="566"/>
      <c r="AO143" s="473">
        <f t="shared" si="40"/>
        <v>57300</v>
      </c>
      <c r="AQ143" s="464" t="s">
        <v>883</v>
      </c>
      <c r="AR143" s="468"/>
      <c r="AS143" s="527"/>
      <c r="AT143" s="566"/>
      <c r="AU143" s="473">
        <f t="shared" si="41"/>
        <v>57300</v>
      </c>
      <c r="AW143" s="464" t="s">
        <v>883</v>
      </c>
      <c r="AX143" s="468"/>
      <c r="AY143" s="527"/>
      <c r="AZ143" s="566"/>
      <c r="BA143" s="473">
        <f t="shared" si="42"/>
        <v>57300</v>
      </c>
      <c r="BC143" s="464" t="s">
        <v>883</v>
      </c>
      <c r="BD143" s="468"/>
      <c r="BE143" s="527"/>
      <c r="BF143" s="566"/>
      <c r="BG143" s="473">
        <f t="shared" si="43"/>
        <v>57300</v>
      </c>
      <c r="BI143" s="464" t="s">
        <v>883</v>
      </c>
      <c r="BJ143" s="468"/>
      <c r="BK143" s="527"/>
      <c r="BL143" s="566"/>
      <c r="BM143" s="473">
        <f t="shared" si="44"/>
        <v>57300</v>
      </c>
      <c r="BO143" s="464" t="s">
        <v>883</v>
      </c>
      <c r="BP143" s="468"/>
      <c r="BQ143" s="527"/>
      <c r="BR143" s="566">
        <v>-57300</v>
      </c>
      <c r="BS143" s="623">
        <f t="shared" si="45"/>
        <v>0</v>
      </c>
    </row>
    <row r="144" spans="1:71" ht="24" customHeight="1">
      <c r="A144" s="464"/>
      <c r="B144" s="468"/>
      <c r="C144" s="527"/>
      <c r="D144" s="487"/>
      <c r="E144" s="473"/>
      <c r="F144" s="466"/>
      <c r="G144" s="464" t="s">
        <v>931</v>
      </c>
      <c r="H144" s="468"/>
      <c r="I144" s="527"/>
      <c r="J144" s="566">
        <v>10800</v>
      </c>
      <c r="K144" s="473">
        <f t="shared" si="35"/>
        <v>10800</v>
      </c>
      <c r="M144" s="464" t="s">
        <v>883</v>
      </c>
      <c r="N144" s="468"/>
      <c r="O144" s="527"/>
      <c r="P144" s="566"/>
      <c r="Q144" s="473">
        <f t="shared" si="36"/>
        <v>10800</v>
      </c>
      <c r="S144" s="464" t="s">
        <v>883</v>
      </c>
      <c r="T144" s="468"/>
      <c r="U144" s="527"/>
      <c r="V144" s="566"/>
      <c r="W144" s="473">
        <f t="shared" si="37"/>
        <v>10800</v>
      </c>
      <c r="Y144" s="464" t="s">
        <v>883</v>
      </c>
      <c r="Z144" s="468"/>
      <c r="AA144" s="527"/>
      <c r="AB144" s="566"/>
      <c r="AC144" s="473">
        <f t="shared" si="38"/>
        <v>10800</v>
      </c>
      <c r="AE144" s="464" t="s">
        <v>883</v>
      </c>
      <c r="AF144" s="468"/>
      <c r="AG144" s="527"/>
      <c r="AH144" s="566"/>
      <c r="AI144" s="473">
        <f t="shared" si="39"/>
        <v>10800</v>
      </c>
      <c r="AK144" s="464" t="s">
        <v>883</v>
      </c>
      <c r="AL144" s="468"/>
      <c r="AM144" s="527"/>
      <c r="AN144" s="566"/>
      <c r="AO144" s="473">
        <f t="shared" si="40"/>
        <v>10800</v>
      </c>
      <c r="AQ144" s="464" t="s">
        <v>883</v>
      </c>
      <c r="AR144" s="468"/>
      <c r="AS144" s="527"/>
      <c r="AT144" s="566"/>
      <c r="AU144" s="473">
        <f t="shared" si="41"/>
        <v>10800</v>
      </c>
      <c r="AW144" s="464" t="s">
        <v>883</v>
      </c>
      <c r="AX144" s="468"/>
      <c r="AY144" s="527"/>
      <c r="AZ144" s="566"/>
      <c r="BA144" s="473">
        <f t="shared" si="42"/>
        <v>10800</v>
      </c>
      <c r="BC144" s="464" t="s">
        <v>931</v>
      </c>
      <c r="BD144" s="468"/>
      <c r="BE144" s="527"/>
      <c r="BF144" s="566"/>
      <c r="BG144" s="473">
        <f t="shared" si="43"/>
        <v>10800</v>
      </c>
      <c r="BI144" s="464" t="s">
        <v>931</v>
      </c>
      <c r="BJ144" s="468"/>
      <c r="BK144" s="527"/>
      <c r="BL144" s="566"/>
      <c r="BM144" s="473">
        <f t="shared" si="44"/>
        <v>10800</v>
      </c>
      <c r="BO144" s="464" t="s">
        <v>931</v>
      </c>
      <c r="BP144" s="468"/>
      <c r="BQ144" s="527"/>
      <c r="BR144" s="566">
        <v>-10800</v>
      </c>
      <c r="BS144" s="623">
        <f t="shared" si="45"/>
        <v>0</v>
      </c>
    </row>
    <row r="145" spans="1:71" ht="24" customHeight="1">
      <c r="A145" s="464"/>
      <c r="B145" s="468"/>
      <c r="C145" s="527"/>
      <c r="D145" s="487"/>
      <c r="E145" s="473"/>
      <c r="F145" s="466"/>
      <c r="G145" s="464" t="s">
        <v>884</v>
      </c>
      <c r="H145" s="468"/>
      <c r="I145" s="527"/>
      <c r="J145" s="566">
        <v>205700</v>
      </c>
      <c r="K145" s="473">
        <f t="shared" si="35"/>
        <v>205700</v>
      </c>
      <c r="M145" s="464" t="s">
        <v>884</v>
      </c>
      <c r="N145" s="468"/>
      <c r="O145" s="527"/>
      <c r="P145" s="566"/>
      <c r="Q145" s="473">
        <f t="shared" si="36"/>
        <v>205700</v>
      </c>
      <c r="S145" s="464" t="s">
        <v>884</v>
      </c>
      <c r="T145" s="468"/>
      <c r="U145" s="527"/>
      <c r="V145" s="566"/>
      <c r="W145" s="473">
        <f t="shared" si="37"/>
        <v>205700</v>
      </c>
      <c r="Y145" s="464" t="s">
        <v>884</v>
      </c>
      <c r="Z145" s="468"/>
      <c r="AA145" s="527"/>
      <c r="AB145" s="566"/>
      <c r="AC145" s="473">
        <f t="shared" si="38"/>
        <v>205700</v>
      </c>
      <c r="AE145" s="464" t="s">
        <v>884</v>
      </c>
      <c r="AF145" s="468"/>
      <c r="AG145" s="527"/>
      <c r="AH145" s="566"/>
      <c r="AI145" s="473">
        <f t="shared" si="39"/>
        <v>205700</v>
      </c>
      <c r="AK145" s="464" t="s">
        <v>884</v>
      </c>
      <c r="AL145" s="468"/>
      <c r="AM145" s="527"/>
      <c r="AN145" s="566">
        <v>205700</v>
      </c>
      <c r="AO145" s="473">
        <f t="shared" si="40"/>
        <v>411400</v>
      </c>
      <c r="AQ145" s="464" t="s">
        <v>884</v>
      </c>
      <c r="AR145" s="468"/>
      <c r="AS145" s="527"/>
      <c r="AT145" s="566"/>
      <c r="AU145" s="473">
        <f t="shared" si="41"/>
        <v>411400</v>
      </c>
      <c r="AW145" s="464" t="s">
        <v>884</v>
      </c>
      <c r="AX145" s="468"/>
      <c r="AY145" s="527"/>
      <c r="AZ145" s="566"/>
      <c r="BA145" s="473">
        <f t="shared" si="42"/>
        <v>411400</v>
      </c>
      <c r="BC145" s="464" t="s">
        <v>884</v>
      </c>
      <c r="BD145" s="468"/>
      <c r="BE145" s="527"/>
      <c r="BF145" s="566"/>
      <c r="BG145" s="473">
        <f t="shared" si="43"/>
        <v>411400</v>
      </c>
      <c r="BI145" s="464" t="s">
        <v>884</v>
      </c>
      <c r="BJ145" s="468"/>
      <c r="BK145" s="527"/>
      <c r="BL145" s="566"/>
      <c r="BM145" s="473">
        <f t="shared" si="44"/>
        <v>411400</v>
      </c>
      <c r="BO145" s="464" t="s">
        <v>884</v>
      </c>
      <c r="BP145" s="468"/>
      <c r="BQ145" s="527"/>
      <c r="BR145" s="566"/>
      <c r="BS145" s="473">
        <f t="shared" si="45"/>
        <v>411400</v>
      </c>
    </row>
    <row r="146" spans="1:71" ht="24" customHeight="1">
      <c r="A146" s="464" t="s">
        <v>858</v>
      </c>
      <c r="B146" s="468">
        <v>441002</v>
      </c>
      <c r="C146" s="527"/>
      <c r="D146" s="487"/>
      <c r="E146" s="473"/>
      <c r="F146" s="501"/>
      <c r="G146" s="464" t="s">
        <v>858</v>
      </c>
      <c r="H146" s="468">
        <v>441002</v>
      </c>
      <c r="I146" s="527"/>
      <c r="J146" s="566"/>
      <c r="K146" s="473">
        <f t="shared" si="35"/>
        <v>0</v>
      </c>
      <c r="M146" s="464" t="s">
        <v>858</v>
      </c>
      <c r="N146" s="468">
        <v>441002</v>
      </c>
      <c r="O146" s="527"/>
      <c r="P146" s="566"/>
      <c r="Q146" s="473">
        <f t="shared" si="36"/>
        <v>0</v>
      </c>
      <c r="S146" s="464" t="s">
        <v>858</v>
      </c>
      <c r="T146" s="468">
        <v>441002</v>
      </c>
      <c r="U146" s="527"/>
      <c r="V146" s="566"/>
      <c r="W146" s="473"/>
      <c r="Y146" s="464" t="s">
        <v>858</v>
      </c>
      <c r="Z146" s="468">
        <v>441002</v>
      </c>
      <c r="AA146" s="527"/>
      <c r="AB146" s="566"/>
      <c r="AC146" s="473">
        <f t="shared" si="38"/>
        <v>0</v>
      </c>
      <c r="AE146" s="464" t="s">
        <v>858</v>
      </c>
      <c r="AF146" s="468">
        <v>441002</v>
      </c>
      <c r="AG146" s="527"/>
      <c r="AH146" s="566"/>
      <c r="AI146" s="473">
        <f t="shared" si="39"/>
        <v>0</v>
      </c>
      <c r="AK146" s="464" t="s">
        <v>858</v>
      </c>
      <c r="AL146" s="468">
        <v>441002</v>
      </c>
      <c r="AM146" s="527"/>
      <c r="AN146" s="566"/>
      <c r="AO146" s="473">
        <f t="shared" si="40"/>
        <v>0</v>
      </c>
      <c r="AQ146" s="464" t="s">
        <v>858</v>
      </c>
      <c r="AR146" s="468">
        <v>441002</v>
      </c>
      <c r="AS146" s="527"/>
      <c r="AT146" s="566"/>
      <c r="AU146" s="473">
        <f t="shared" si="41"/>
        <v>0</v>
      </c>
      <c r="AW146" s="464" t="s">
        <v>858</v>
      </c>
      <c r="AX146" s="468">
        <v>441002</v>
      </c>
      <c r="AY146" s="527"/>
      <c r="AZ146" s="566"/>
      <c r="BA146" s="473">
        <f t="shared" si="42"/>
        <v>0</v>
      </c>
      <c r="BC146" s="464" t="s">
        <v>858</v>
      </c>
      <c r="BD146" s="468">
        <v>441002</v>
      </c>
      <c r="BE146" s="527"/>
      <c r="BF146" s="566"/>
      <c r="BG146" s="473">
        <f t="shared" si="43"/>
        <v>0</v>
      </c>
      <c r="BI146" s="464" t="s">
        <v>858</v>
      </c>
      <c r="BJ146" s="468">
        <v>441002</v>
      </c>
      <c r="BK146" s="527"/>
      <c r="BL146" s="566"/>
      <c r="BM146" s="473">
        <f t="shared" si="44"/>
        <v>0</v>
      </c>
      <c r="BO146" s="464" t="s">
        <v>858</v>
      </c>
      <c r="BP146" s="468">
        <v>441002</v>
      </c>
      <c r="BQ146" s="527"/>
      <c r="BR146" s="566"/>
      <c r="BS146" s="473">
        <f t="shared" si="45"/>
        <v>0</v>
      </c>
    </row>
    <row r="147" spans="1:71" ht="24" customHeight="1">
      <c r="A147" s="464" t="s">
        <v>859</v>
      </c>
      <c r="B147" s="468"/>
      <c r="C147" s="527"/>
      <c r="D147" s="487"/>
      <c r="E147" s="473"/>
      <c r="F147" s="501"/>
      <c r="G147" s="464" t="s">
        <v>859</v>
      </c>
      <c r="H147" s="468"/>
      <c r="I147" s="527"/>
      <c r="J147" s="566">
        <v>474000</v>
      </c>
      <c r="K147" s="473">
        <f t="shared" si="35"/>
        <v>474000</v>
      </c>
      <c r="M147" s="464" t="s">
        <v>859</v>
      </c>
      <c r="N147" s="468"/>
      <c r="O147" s="527"/>
      <c r="P147" s="566"/>
      <c r="Q147" s="473">
        <f t="shared" si="36"/>
        <v>474000</v>
      </c>
      <c r="S147" s="464" t="s">
        <v>859</v>
      </c>
      <c r="T147" s="468"/>
      <c r="U147" s="527"/>
      <c r="V147" s="566">
        <v>537200</v>
      </c>
      <c r="W147" s="473">
        <f t="shared" si="37"/>
        <v>1011200</v>
      </c>
      <c r="Y147" s="464" t="s">
        <v>859</v>
      </c>
      <c r="Z147" s="468"/>
      <c r="AA147" s="527"/>
      <c r="AB147" s="566"/>
      <c r="AC147" s="473">
        <f t="shared" si="38"/>
        <v>1011200</v>
      </c>
      <c r="AE147" s="464" t="s">
        <v>859</v>
      </c>
      <c r="AF147" s="468"/>
      <c r="AG147" s="527"/>
      <c r="AH147" s="566">
        <v>505600</v>
      </c>
      <c r="AI147" s="473">
        <f t="shared" si="39"/>
        <v>1516800</v>
      </c>
      <c r="AK147" s="464" t="s">
        <v>859</v>
      </c>
      <c r="AL147" s="468"/>
      <c r="AM147" s="527"/>
      <c r="AN147" s="566">
        <v>252800</v>
      </c>
      <c r="AO147" s="473">
        <f t="shared" si="40"/>
        <v>1769600</v>
      </c>
      <c r="AQ147" s="464" t="s">
        <v>859</v>
      </c>
      <c r="AR147" s="468"/>
      <c r="AS147" s="527"/>
      <c r="AT147" s="566">
        <v>252800</v>
      </c>
      <c r="AU147" s="473">
        <f t="shared" si="41"/>
        <v>2022400</v>
      </c>
      <c r="AW147" s="464" t="s">
        <v>859</v>
      </c>
      <c r="AX147" s="468"/>
      <c r="AY147" s="527"/>
      <c r="AZ147" s="566">
        <v>183200</v>
      </c>
      <c r="BA147" s="473">
        <f t="shared" si="42"/>
        <v>2205600</v>
      </c>
      <c r="BC147" s="464" t="s">
        <v>859</v>
      </c>
      <c r="BD147" s="468"/>
      <c r="BE147" s="527"/>
      <c r="BF147" s="566"/>
      <c r="BG147" s="473">
        <f t="shared" si="43"/>
        <v>2205600</v>
      </c>
      <c r="BI147" s="464" t="s">
        <v>859</v>
      </c>
      <c r="BJ147" s="468"/>
      <c r="BK147" s="527"/>
      <c r="BL147" s="566"/>
      <c r="BM147" s="473">
        <f t="shared" si="44"/>
        <v>2205600</v>
      </c>
      <c r="BO147" s="464" t="s">
        <v>859</v>
      </c>
      <c r="BP147" s="468"/>
      <c r="BQ147" s="527"/>
      <c r="BR147" s="566">
        <f>673600</f>
        <v>673600</v>
      </c>
      <c r="BS147" s="473">
        <f t="shared" si="45"/>
        <v>2879200</v>
      </c>
    </row>
    <row r="148" spans="1:71" ht="24" customHeight="1">
      <c r="A148" s="464" t="s">
        <v>860</v>
      </c>
      <c r="B148" s="468"/>
      <c r="C148" s="527"/>
      <c r="D148" s="487"/>
      <c r="E148" s="473"/>
      <c r="F148" s="501"/>
      <c r="G148" s="464" t="s">
        <v>860</v>
      </c>
      <c r="H148" s="468"/>
      <c r="I148" s="527"/>
      <c r="J148" s="566">
        <v>3327300</v>
      </c>
      <c r="K148" s="473">
        <f t="shared" si="35"/>
        <v>3327300</v>
      </c>
      <c r="M148" s="464" t="s">
        <v>860</v>
      </c>
      <c r="N148" s="468"/>
      <c r="O148" s="527"/>
      <c r="P148" s="566"/>
      <c r="Q148" s="473">
        <f t="shared" si="36"/>
        <v>3327300</v>
      </c>
      <c r="S148" s="464" t="s">
        <v>860</v>
      </c>
      <c r="T148" s="468"/>
      <c r="U148" s="527"/>
      <c r="V148" s="566">
        <v>2218200</v>
      </c>
      <c r="W148" s="473">
        <f t="shared" si="37"/>
        <v>5545500</v>
      </c>
      <c r="Y148" s="464" t="s">
        <v>860</v>
      </c>
      <c r="Z148" s="468"/>
      <c r="AA148" s="527"/>
      <c r="AB148" s="566"/>
      <c r="AC148" s="473">
        <f t="shared" si="38"/>
        <v>5545500</v>
      </c>
      <c r="AE148" s="464" t="s">
        <v>860</v>
      </c>
      <c r="AF148" s="468"/>
      <c r="AG148" s="527"/>
      <c r="AH148" s="566">
        <v>2218200</v>
      </c>
      <c r="AI148" s="473">
        <f t="shared" si="39"/>
        <v>7763700</v>
      </c>
      <c r="AK148" s="464" t="s">
        <v>860</v>
      </c>
      <c r="AL148" s="468"/>
      <c r="AM148" s="527"/>
      <c r="AN148" s="566"/>
      <c r="AO148" s="473">
        <f t="shared" si="40"/>
        <v>7763700</v>
      </c>
      <c r="AQ148" s="464" t="s">
        <v>860</v>
      </c>
      <c r="AR148" s="468"/>
      <c r="AS148" s="527"/>
      <c r="AT148" s="566">
        <v>1109100</v>
      </c>
      <c r="AU148" s="473">
        <f t="shared" si="41"/>
        <v>8872800</v>
      </c>
      <c r="AW148" s="464" t="s">
        <v>860</v>
      </c>
      <c r="AX148" s="468"/>
      <c r="AY148" s="527"/>
      <c r="AZ148" s="566">
        <v>845700</v>
      </c>
      <c r="BA148" s="473">
        <f t="shared" si="42"/>
        <v>9718500</v>
      </c>
      <c r="BC148" s="464" t="s">
        <v>860</v>
      </c>
      <c r="BD148" s="468"/>
      <c r="BE148" s="527"/>
      <c r="BF148" s="566">
        <v>3063900</v>
      </c>
      <c r="BG148" s="473">
        <f t="shared" si="43"/>
        <v>12782400</v>
      </c>
      <c r="BI148" s="464" t="s">
        <v>860</v>
      </c>
      <c r="BJ148" s="468"/>
      <c r="BK148" s="527"/>
      <c r="BL148" s="566"/>
      <c r="BM148" s="473">
        <f t="shared" si="44"/>
        <v>12782400</v>
      </c>
      <c r="BO148" s="464" t="s">
        <v>860</v>
      </c>
      <c r="BP148" s="468"/>
      <c r="BQ148" s="527"/>
      <c r="BR148" s="566">
        <f>-647000</f>
        <v>-647000</v>
      </c>
      <c r="BS148" s="473">
        <f t="shared" si="45"/>
        <v>12135400</v>
      </c>
    </row>
    <row r="149" spans="1:71" ht="24" customHeight="1">
      <c r="A149" s="464" t="s">
        <v>861</v>
      </c>
      <c r="B149" s="468"/>
      <c r="C149" s="527"/>
      <c r="D149" s="487"/>
      <c r="E149" s="473"/>
      <c r="F149" s="501"/>
      <c r="G149" s="464" t="s">
        <v>861</v>
      </c>
      <c r="H149" s="468"/>
      <c r="I149" s="527"/>
      <c r="J149" s="566"/>
      <c r="K149" s="473">
        <f t="shared" si="35"/>
        <v>0</v>
      </c>
      <c r="M149" s="464" t="s">
        <v>861</v>
      </c>
      <c r="N149" s="468"/>
      <c r="O149" s="527"/>
      <c r="P149" s="566"/>
      <c r="Q149" s="473">
        <f t="shared" si="36"/>
        <v>0</v>
      </c>
      <c r="S149" s="464" t="s">
        <v>861</v>
      </c>
      <c r="T149" s="468"/>
      <c r="U149" s="527"/>
      <c r="V149" s="566"/>
      <c r="W149" s="473">
        <f t="shared" si="37"/>
        <v>0</v>
      </c>
      <c r="Y149" s="464" t="s">
        <v>861</v>
      </c>
      <c r="Z149" s="468"/>
      <c r="AA149" s="527"/>
      <c r="AB149" s="566"/>
      <c r="AC149" s="473">
        <f t="shared" si="38"/>
        <v>0</v>
      </c>
      <c r="AE149" s="464" t="s">
        <v>861</v>
      </c>
      <c r="AF149" s="468"/>
      <c r="AG149" s="527"/>
      <c r="AH149" s="566"/>
      <c r="AI149" s="473">
        <f t="shared" si="39"/>
        <v>0</v>
      </c>
      <c r="AK149" s="464" t="s">
        <v>861</v>
      </c>
      <c r="AL149" s="468"/>
      <c r="AM149" s="527"/>
      <c r="AN149" s="566"/>
      <c r="AO149" s="473">
        <f t="shared" si="40"/>
        <v>0</v>
      </c>
      <c r="AQ149" s="464" t="s">
        <v>861</v>
      </c>
      <c r="AR149" s="468"/>
      <c r="AS149" s="527"/>
      <c r="AT149" s="566"/>
      <c r="AU149" s="473">
        <f t="shared" si="41"/>
        <v>0</v>
      </c>
      <c r="AW149" s="464" t="s">
        <v>861</v>
      </c>
      <c r="AX149" s="468"/>
      <c r="AY149" s="527"/>
      <c r="AZ149" s="566"/>
      <c r="BA149" s="473">
        <f t="shared" si="42"/>
        <v>0</v>
      </c>
      <c r="BC149" s="464" t="s">
        <v>861</v>
      </c>
      <c r="BD149" s="468"/>
      <c r="BE149" s="527"/>
      <c r="BF149" s="566"/>
      <c r="BG149" s="473">
        <f t="shared" si="43"/>
        <v>0</v>
      </c>
      <c r="BI149" s="464" t="s">
        <v>861</v>
      </c>
      <c r="BJ149" s="468"/>
      <c r="BK149" s="527"/>
      <c r="BL149" s="566"/>
      <c r="BM149" s="473">
        <f t="shared" si="44"/>
        <v>0</v>
      </c>
      <c r="BO149" s="464" t="s">
        <v>861</v>
      </c>
      <c r="BP149" s="468"/>
      <c r="BQ149" s="527"/>
      <c r="BR149" s="566"/>
      <c r="BS149" s="473">
        <f t="shared" si="45"/>
        <v>0</v>
      </c>
    </row>
    <row r="150" spans="1:71" ht="24" customHeight="1">
      <c r="A150" s="464" t="s">
        <v>862</v>
      </c>
      <c r="B150" s="468">
        <v>499999</v>
      </c>
      <c r="C150" s="527"/>
      <c r="D150" s="487"/>
      <c r="E150" s="473"/>
      <c r="F150" s="466"/>
      <c r="G150" s="464" t="s">
        <v>862</v>
      </c>
      <c r="H150" s="468">
        <v>499999</v>
      </c>
      <c r="I150" s="527"/>
      <c r="J150" s="566"/>
      <c r="K150" s="473">
        <f t="shared" si="35"/>
        <v>0</v>
      </c>
      <c r="M150" s="464" t="s">
        <v>862</v>
      </c>
      <c r="N150" s="468">
        <v>499999</v>
      </c>
      <c r="O150" s="527"/>
      <c r="P150" s="566"/>
      <c r="Q150" s="473">
        <f t="shared" si="36"/>
        <v>0</v>
      </c>
      <c r="S150" s="464" t="s">
        <v>862</v>
      </c>
      <c r="T150" s="468">
        <v>499999</v>
      </c>
      <c r="U150" s="527"/>
      <c r="V150" s="566"/>
      <c r="W150" s="473">
        <f t="shared" si="37"/>
        <v>0</v>
      </c>
      <c r="Y150" s="464" t="s">
        <v>862</v>
      </c>
      <c r="Z150" s="468">
        <v>499999</v>
      </c>
      <c r="AA150" s="527"/>
      <c r="AB150" s="566"/>
      <c r="AC150" s="473">
        <f t="shared" si="38"/>
        <v>0</v>
      </c>
      <c r="AE150" s="464" t="s">
        <v>862</v>
      </c>
      <c r="AF150" s="468">
        <v>499999</v>
      </c>
      <c r="AG150" s="527"/>
      <c r="AH150" s="566"/>
      <c r="AI150" s="473">
        <f t="shared" si="39"/>
        <v>0</v>
      </c>
      <c r="AK150" s="464" t="s">
        <v>862</v>
      </c>
      <c r="AL150" s="468">
        <v>499999</v>
      </c>
      <c r="AM150" s="527"/>
      <c r="AN150" s="566"/>
      <c r="AO150" s="473">
        <f t="shared" si="40"/>
        <v>0</v>
      </c>
      <c r="AQ150" s="464" t="s">
        <v>862</v>
      </c>
      <c r="AR150" s="468">
        <v>499999</v>
      </c>
      <c r="AS150" s="527"/>
      <c r="AT150" s="566"/>
      <c r="AU150" s="473">
        <f t="shared" si="41"/>
        <v>0</v>
      </c>
      <c r="AW150" s="464" t="s">
        <v>862</v>
      </c>
      <c r="AX150" s="468">
        <v>499999</v>
      </c>
      <c r="AY150" s="527"/>
      <c r="AZ150" s="566"/>
      <c r="BA150" s="473">
        <f t="shared" si="42"/>
        <v>0</v>
      </c>
      <c r="BC150" s="464" t="s">
        <v>862</v>
      </c>
      <c r="BD150" s="468">
        <v>499999</v>
      </c>
      <c r="BE150" s="527"/>
      <c r="BF150" s="566"/>
      <c r="BG150" s="473">
        <f t="shared" si="43"/>
        <v>0</v>
      </c>
      <c r="BI150" s="464" t="s">
        <v>862</v>
      </c>
      <c r="BJ150" s="468">
        <v>499999</v>
      </c>
      <c r="BK150" s="527"/>
      <c r="BL150" s="566"/>
      <c r="BM150" s="473">
        <f t="shared" si="44"/>
        <v>0</v>
      </c>
      <c r="BO150" s="464" t="s">
        <v>862</v>
      </c>
      <c r="BP150" s="468">
        <v>499999</v>
      </c>
      <c r="BQ150" s="527"/>
      <c r="BR150" s="566"/>
      <c r="BS150" s="473">
        <f t="shared" si="45"/>
        <v>0</v>
      </c>
    </row>
    <row r="151" spans="1:71" ht="24">
      <c r="A151" s="464" t="s">
        <v>869</v>
      </c>
      <c r="B151" s="468"/>
      <c r="C151" s="527"/>
      <c r="D151" s="510">
        <v>1143155</v>
      </c>
      <c r="E151" s="473">
        <f>+D151</f>
        <v>1143155</v>
      </c>
      <c r="F151" s="466"/>
      <c r="G151" s="464" t="s">
        <v>869</v>
      </c>
      <c r="H151" s="468"/>
      <c r="I151" s="527"/>
      <c r="J151" s="574"/>
      <c r="K151" s="473">
        <f>+D151+J151</f>
        <v>1143155</v>
      </c>
      <c r="M151" s="464" t="s">
        <v>869</v>
      </c>
      <c r="N151" s="468"/>
      <c r="O151" s="527"/>
      <c r="P151" s="574"/>
      <c r="Q151" s="473">
        <f t="shared" si="36"/>
        <v>1143155</v>
      </c>
      <c r="S151" s="464" t="s">
        <v>869</v>
      </c>
      <c r="T151" s="468"/>
      <c r="U151" s="527"/>
      <c r="V151" s="574"/>
      <c r="W151" s="473">
        <f t="shared" si="37"/>
        <v>1143155</v>
      </c>
      <c r="Y151" s="464" t="s">
        <v>869</v>
      </c>
      <c r="Z151" s="468"/>
      <c r="AA151" s="527"/>
      <c r="AB151" s="574"/>
      <c r="AC151" s="473">
        <f t="shared" si="38"/>
        <v>1143155</v>
      </c>
      <c r="AE151" s="464" t="s">
        <v>869</v>
      </c>
      <c r="AF151" s="468"/>
      <c r="AG151" s="527"/>
      <c r="AH151" s="574"/>
      <c r="AI151" s="473">
        <f t="shared" si="39"/>
        <v>1143155</v>
      </c>
      <c r="AK151" s="464" t="s">
        <v>869</v>
      </c>
      <c r="AL151" s="468"/>
      <c r="AM151" s="527"/>
      <c r="AN151" s="574"/>
      <c r="AO151" s="473">
        <f t="shared" si="40"/>
        <v>1143155</v>
      </c>
      <c r="AQ151" s="464" t="s">
        <v>869</v>
      </c>
      <c r="AR151" s="468"/>
      <c r="AS151" s="527"/>
      <c r="AT151" s="574"/>
      <c r="AU151" s="473">
        <f t="shared" si="41"/>
        <v>1143155</v>
      </c>
      <c r="AW151" s="464" t="s">
        <v>869</v>
      </c>
      <c r="AX151" s="468"/>
      <c r="AY151" s="527"/>
      <c r="AZ151" s="574"/>
      <c r="BA151" s="473">
        <f t="shared" si="42"/>
        <v>1143155</v>
      </c>
      <c r="BC151" s="464" t="s">
        <v>869</v>
      </c>
      <c r="BD151" s="468"/>
      <c r="BE151" s="527"/>
      <c r="BF151" s="574"/>
      <c r="BG151" s="473">
        <f t="shared" si="43"/>
        <v>1143155</v>
      </c>
      <c r="BI151" s="464" t="s">
        <v>869</v>
      </c>
      <c r="BJ151" s="468"/>
      <c r="BK151" s="527"/>
      <c r="BL151" s="574"/>
      <c r="BM151" s="473">
        <f t="shared" si="44"/>
        <v>1143155</v>
      </c>
      <c r="BO151" s="464" t="s">
        <v>869</v>
      </c>
      <c r="BP151" s="468"/>
      <c r="BQ151" s="527"/>
      <c r="BR151" s="574"/>
      <c r="BS151" s="473">
        <f t="shared" si="45"/>
        <v>1143155</v>
      </c>
    </row>
    <row r="152" spans="1:71" ht="24">
      <c r="A152" s="464"/>
      <c r="B152" s="468"/>
      <c r="C152" s="527"/>
      <c r="D152" s="510"/>
      <c r="E152" s="473"/>
      <c r="F152" s="466"/>
      <c r="G152" s="464"/>
      <c r="H152" s="468"/>
      <c r="I152" s="527"/>
      <c r="J152" s="574"/>
      <c r="K152" s="473"/>
      <c r="M152" s="464"/>
      <c r="N152" s="468"/>
      <c r="O152" s="527"/>
      <c r="P152" s="574"/>
      <c r="Q152" s="473"/>
      <c r="S152" s="464"/>
      <c r="T152" s="468"/>
      <c r="U152" s="527"/>
      <c r="V152" s="574"/>
      <c r="W152" s="473"/>
      <c r="Y152" s="464"/>
      <c r="Z152" s="468"/>
      <c r="AA152" s="527"/>
      <c r="AB152" s="574"/>
      <c r="AC152" s="473"/>
      <c r="AE152" s="464" t="s">
        <v>918</v>
      </c>
      <c r="AF152" s="468"/>
      <c r="AG152" s="527"/>
      <c r="AH152" s="574">
        <v>499690</v>
      </c>
      <c r="AI152" s="473">
        <f t="shared" si="39"/>
        <v>499690</v>
      </c>
      <c r="AK152" s="464" t="s">
        <v>918</v>
      </c>
      <c r="AL152" s="468"/>
      <c r="AM152" s="527"/>
      <c r="AN152" s="574"/>
      <c r="AO152" s="473">
        <f t="shared" si="40"/>
        <v>499690</v>
      </c>
      <c r="AQ152" s="464" t="s">
        <v>918</v>
      </c>
      <c r="AR152" s="468"/>
      <c r="AS152" s="527"/>
      <c r="AT152" s="574"/>
      <c r="AU152" s="473">
        <f t="shared" si="41"/>
        <v>499690</v>
      </c>
      <c r="AW152" s="464" t="s">
        <v>918</v>
      </c>
      <c r="AX152" s="468"/>
      <c r="AY152" s="527"/>
      <c r="AZ152" s="574"/>
      <c r="BA152" s="473">
        <f t="shared" si="42"/>
        <v>499690</v>
      </c>
      <c r="BC152" s="464" t="s">
        <v>918</v>
      </c>
      <c r="BD152" s="468"/>
      <c r="BE152" s="527"/>
      <c r="BF152" s="574"/>
      <c r="BG152" s="473">
        <f t="shared" si="43"/>
        <v>499690</v>
      </c>
      <c r="BI152" s="464" t="s">
        <v>918</v>
      </c>
      <c r="BJ152" s="468"/>
      <c r="BK152" s="527"/>
      <c r="BL152" s="574"/>
      <c r="BM152" s="473">
        <f t="shared" si="44"/>
        <v>499690</v>
      </c>
      <c r="BO152" s="464" t="s">
        <v>918</v>
      </c>
      <c r="BP152" s="468"/>
      <c r="BQ152" s="527"/>
      <c r="BR152" s="574"/>
      <c r="BS152" s="473">
        <f t="shared" si="45"/>
        <v>499690</v>
      </c>
    </row>
    <row r="153" spans="1:71" ht="24">
      <c r="A153" s="464"/>
      <c r="B153" s="468"/>
      <c r="C153" s="527"/>
      <c r="D153" s="510"/>
      <c r="E153" s="473"/>
      <c r="F153" s="466"/>
      <c r="G153" s="464"/>
      <c r="H153" s="468"/>
      <c r="I153" s="527"/>
      <c r="J153" s="574"/>
      <c r="K153" s="473"/>
      <c r="M153" s="464"/>
      <c r="N153" s="468"/>
      <c r="O153" s="527"/>
      <c r="P153" s="574"/>
      <c r="Q153" s="473"/>
      <c r="S153" s="464"/>
      <c r="T153" s="468"/>
      <c r="U153" s="527"/>
      <c r="V153" s="574"/>
      <c r="W153" s="473"/>
      <c r="Y153" s="464"/>
      <c r="Z153" s="468"/>
      <c r="AA153" s="527"/>
      <c r="AB153" s="574"/>
      <c r="AC153" s="473"/>
      <c r="AE153" s="464"/>
      <c r="AF153" s="468"/>
      <c r="AG153" s="527"/>
      <c r="AH153" s="574"/>
      <c r="AI153" s="473"/>
      <c r="AK153" s="464" t="s">
        <v>925</v>
      </c>
      <c r="AL153" s="468"/>
      <c r="AM153" s="527"/>
      <c r="AN153" s="574">
        <v>897500</v>
      </c>
      <c r="AO153" s="473">
        <f t="shared" si="40"/>
        <v>897500</v>
      </c>
      <c r="AQ153" s="464" t="s">
        <v>925</v>
      </c>
      <c r="AR153" s="468"/>
      <c r="AS153" s="527"/>
      <c r="AT153" s="574">
        <v>897500</v>
      </c>
      <c r="AU153" s="473">
        <f t="shared" si="41"/>
        <v>1795000</v>
      </c>
      <c r="AW153" s="464" t="s">
        <v>925</v>
      </c>
      <c r="AX153" s="468"/>
      <c r="AY153" s="527"/>
      <c r="AZ153" s="574"/>
      <c r="BA153" s="473">
        <f t="shared" si="42"/>
        <v>1795000</v>
      </c>
      <c r="BC153" s="464" t="s">
        <v>925</v>
      </c>
      <c r="BD153" s="468"/>
      <c r="BE153" s="527"/>
      <c r="BF153" s="574"/>
      <c r="BG153" s="473">
        <f t="shared" si="43"/>
        <v>1795000</v>
      </c>
      <c r="BI153" s="464" t="s">
        <v>925</v>
      </c>
      <c r="BJ153" s="468"/>
      <c r="BK153" s="527"/>
      <c r="BL153" s="574"/>
      <c r="BM153" s="473">
        <f t="shared" si="44"/>
        <v>1795000</v>
      </c>
      <c r="BO153" s="464" t="s">
        <v>925</v>
      </c>
      <c r="BP153" s="468"/>
      <c r="BQ153" s="527"/>
      <c r="BR153" s="574"/>
      <c r="BS153" s="473">
        <f t="shared" si="45"/>
        <v>1795000</v>
      </c>
    </row>
    <row r="154" spans="1:72" ht="24.75" thickBot="1">
      <c r="A154" s="514" t="s">
        <v>863</v>
      </c>
      <c r="B154" s="515"/>
      <c r="C154" s="532"/>
      <c r="D154" s="548">
        <f>SUM(D136:D151)</f>
        <v>1143155</v>
      </c>
      <c r="E154" s="552">
        <f>SUM(E136:E151)</f>
        <v>1143155</v>
      </c>
      <c r="F154" s="466"/>
      <c r="G154" s="514" t="s">
        <v>863</v>
      </c>
      <c r="H154" s="515"/>
      <c r="I154" s="532"/>
      <c r="J154" s="576">
        <f>SUM(J136:J151)</f>
        <v>4696920</v>
      </c>
      <c r="K154" s="552">
        <f>SUM(K136:K151)</f>
        <v>5840075</v>
      </c>
      <c r="M154" s="514" t="s">
        <v>863</v>
      </c>
      <c r="N154" s="515"/>
      <c r="O154" s="532"/>
      <c r="P154" s="576">
        <f>SUM(P136:P151)</f>
        <v>0</v>
      </c>
      <c r="Q154" s="552">
        <f>SUM(Q136:Q151)</f>
        <v>5840075</v>
      </c>
      <c r="S154" s="514" t="s">
        <v>863</v>
      </c>
      <c r="T154" s="515"/>
      <c r="U154" s="532"/>
      <c r="V154" s="576">
        <f>SUM(V136:V151)</f>
        <v>2755400</v>
      </c>
      <c r="W154" s="552">
        <f>SUM(W136:W151)</f>
        <v>8595475</v>
      </c>
      <c r="Y154" s="514" t="s">
        <v>863</v>
      </c>
      <c r="Z154" s="515"/>
      <c r="AA154" s="532"/>
      <c r="AB154" s="576">
        <f>SUM(AB136:AB151)</f>
        <v>379200</v>
      </c>
      <c r="AC154" s="552">
        <f>SUM(AC136:AC151)</f>
        <v>8974675</v>
      </c>
      <c r="AE154" s="514" t="s">
        <v>863</v>
      </c>
      <c r="AF154" s="515"/>
      <c r="AG154" s="532"/>
      <c r="AH154" s="576">
        <f>SUM(AH136:AH152)</f>
        <v>3438110</v>
      </c>
      <c r="AI154" s="552">
        <f>+P154+V154+AB154+AH154+J154+D151</f>
        <v>12412785</v>
      </c>
      <c r="AJ154" s="611"/>
      <c r="AK154" s="514" t="s">
        <v>863</v>
      </c>
      <c r="AL154" s="515"/>
      <c r="AM154" s="532"/>
      <c r="AN154" s="576">
        <f>SUM(AN136:AN153)</f>
        <v>1996588</v>
      </c>
      <c r="AO154" s="612">
        <f>SUM(AO136:AO153)</f>
        <v>14409373</v>
      </c>
      <c r="AP154" s="611"/>
      <c r="AQ154" s="514" t="s">
        <v>863</v>
      </c>
      <c r="AR154" s="515"/>
      <c r="AS154" s="532"/>
      <c r="AT154" s="576">
        <f>SUM(AT136:AT153)</f>
        <v>2259400</v>
      </c>
      <c r="AU154" s="612">
        <f>SUM(AU136:AU153)</f>
        <v>16668773</v>
      </c>
      <c r="AW154" s="514" t="s">
        <v>863</v>
      </c>
      <c r="AX154" s="515"/>
      <c r="AY154" s="614"/>
      <c r="AZ154" s="615">
        <f>SUM(AZ136:AZ153)</f>
        <v>1154765.48</v>
      </c>
      <c r="BA154" s="616">
        <f>SUM(BA136:BA153)</f>
        <v>17823538.48</v>
      </c>
      <c r="BC154" s="514" t="s">
        <v>863</v>
      </c>
      <c r="BD154" s="515"/>
      <c r="BE154" s="614"/>
      <c r="BF154" s="615">
        <f>SUM(BF136:BF153)</f>
        <v>3063900</v>
      </c>
      <c r="BG154" s="616">
        <f>SUM(BG136:BG153)</f>
        <v>20887438.48</v>
      </c>
      <c r="BI154" s="514" t="s">
        <v>863</v>
      </c>
      <c r="BJ154" s="515"/>
      <c r="BK154" s="614"/>
      <c r="BL154" s="615">
        <f>SUM(BL136:BL153)</f>
        <v>207930</v>
      </c>
      <c r="BM154" s="616">
        <f>SUM(BM136:BM153)</f>
        <v>21095368.48</v>
      </c>
      <c r="BN154" s="611"/>
      <c r="BO154" s="514" t="s">
        <v>863</v>
      </c>
      <c r="BP154" s="515"/>
      <c r="BQ154" s="614"/>
      <c r="BR154" s="615">
        <f>SUM(BR136:BR153)</f>
        <v>305690</v>
      </c>
      <c r="BS154" s="616">
        <f>SUM(BS134:BS153)</f>
        <v>21373058.48</v>
      </c>
      <c r="BT154" s="611">
        <f>+BS154+BS133+BS125+BS97+BS78+BS70+BS12</f>
        <v>66704881.580000006</v>
      </c>
    </row>
    <row r="155" spans="1:73" ht="24.75" thickBot="1">
      <c r="A155" s="519" t="s">
        <v>864</v>
      </c>
      <c r="B155" s="540"/>
      <c r="C155" s="533">
        <f>C12+C70+C78+C97+C101+C125+C133</f>
        <v>40000000</v>
      </c>
      <c r="D155" s="549">
        <f>D12+D70+D78+D97+D125+D133+D154+D101</f>
        <v>2652765.72</v>
      </c>
      <c r="E155" s="549">
        <f>E12+E70+E78+E97+E125+E133+E154+E101</f>
        <v>2652765.72</v>
      </c>
      <c r="F155" s="466"/>
      <c r="G155" s="519" t="s">
        <v>864</v>
      </c>
      <c r="H155" s="540"/>
      <c r="I155" s="533">
        <f>I12+I70+I78+I97+I101+I125+I133</f>
        <v>40000000</v>
      </c>
      <c r="J155" s="577">
        <f>J12+J70+J78+J97+J125+J133+J154+J101</f>
        <v>9464876.64</v>
      </c>
      <c r="K155" s="549">
        <f>K12+K70+K78+K97+K125+K133+K154+K101</f>
        <v>12117642.36</v>
      </c>
      <c r="M155" s="519" t="s">
        <v>864</v>
      </c>
      <c r="N155" s="540"/>
      <c r="O155" s="533">
        <f>O12+O70+O78+O97+O101+O125+O133</f>
        <v>40000000</v>
      </c>
      <c r="P155" s="577">
        <f>P12+P70+P78+P97+P125+P133+P154+P101</f>
        <v>9068584.879999999</v>
      </c>
      <c r="Q155" s="549">
        <f>Q12+Q70+Q78+Q97+Q125+Q133+Q154+Q101</f>
        <v>21186227.240000002</v>
      </c>
      <c r="S155" s="519" t="s">
        <v>864</v>
      </c>
      <c r="T155" s="540"/>
      <c r="U155" s="533">
        <f>U12+U70+U78+U97+U101+U125+U133</f>
        <v>40000000</v>
      </c>
      <c r="V155" s="577">
        <f>V12+V70+V78+V97+V125+V133+V154+V101</f>
        <v>7338375.37</v>
      </c>
      <c r="W155" s="606">
        <f>W12+W70+W78+W97+W125+W133+W154+W101</f>
        <v>28524602.61</v>
      </c>
      <c r="Y155" s="519" t="s">
        <v>864</v>
      </c>
      <c r="Z155" s="540"/>
      <c r="AA155" s="533">
        <f>AA12+AA70+AA78+AA97+AA101+AA125+AA133</f>
        <v>40000000</v>
      </c>
      <c r="AB155" s="577">
        <f>AB12+AB70+AB78+AB97+AB125+AB133+AB154+AB101</f>
        <v>1743107.51</v>
      </c>
      <c r="AC155" s="606">
        <f>AC12+AC70+AC78+AC97+AC125+AC133+AC154+AC101</f>
        <v>30267710.119999997</v>
      </c>
      <c r="AE155" s="519" t="s">
        <v>864</v>
      </c>
      <c r="AF155" s="540"/>
      <c r="AG155" s="533">
        <f>AG12+AG70+AG78+AG97+AG101+AG125+AG133</f>
        <v>40000000</v>
      </c>
      <c r="AH155" s="577">
        <f>AH12+AH70+AH78+AH97+AH125+AH133+AH154+AH101</f>
        <v>10666740.19</v>
      </c>
      <c r="AI155" s="606">
        <f>AI12+AI70+AI78+AI97+AI125+AI133+AI154+AI101</f>
        <v>40934450.31</v>
      </c>
      <c r="AK155" s="519" t="s">
        <v>864</v>
      </c>
      <c r="AL155" s="540"/>
      <c r="AM155" s="533">
        <f>AM12+AM70+AM78+AM97+AM101+AM125+AM133</f>
        <v>40000000</v>
      </c>
      <c r="AN155" s="577">
        <f>AN12+AN70+AN78+AN97+AN125+AN133+AN154+AN101</f>
        <v>4763600.42</v>
      </c>
      <c r="AO155" s="606">
        <f>AO12+AO70+AO78+AO97+AO125+AO133+AO154+AO101</f>
        <v>45698050.730000004</v>
      </c>
      <c r="AQ155" s="519" t="s">
        <v>864</v>
      </c>
      <c r="AR155" s="540"/>
      <c r="AS155" s="533">
        <f>AS12+AS70+AS78+AS97+AS101+AS125+AS133</f>
        <v>40000000</v>
      </c>
      <c r="AT155" s="577">
        <f>AT12+AT70+AT78+AT97+AT125+AT133+AT154+AT101</f>
        <v>5391779.03</v>
      </c>
      <c r="AU155" s="606">
        <f>AU12+AU70+AU78+AU97+AU125+AU133+AU154+AU101</f>
        <v>51089829.760000005</v>
      </c>
      <c r="AW155" s="519" t="s">
        <v>864</v>
      </c>
      <c r="AX155" s="540"/>
      <c r="AY155" s="533">
        <f>AY12+AY70+AY78+AY97+AY101+AY125+AY133</f>
        <v>40000000</v>
      </c>
      <c r="AZ155" s="577">
        <f>AZ12+AZ70+AZ78+AZ97+AZ125+AZ133+AZ154+AZ101</f>
        <v>4068675.53</v>
      </c>
      <c r="BA155" s="606">
        <f>BA12+BA70+BA78+BA97+BA125+BA133+BA154+BA101</f>
        <v>55158505.29000001</v>
      </c>
      <c r="BC155" s="519" t="s">
        <v>864</v>
      </c>
      <c r="BD155" s="540"/>
      <c r="BE155" s="533">
        <f>BE12+BE70+BE78+BE97+BE101+BE125+BE133</f>
        <v>40000000</v>
      </c>
      <c r="BF155" s="577">
        <f>BF12+BF70+BF78+BF97+BF125+BF133+BF154+BF101</f>
        <v>5951609.82</v>
      </c>
      <c r="BG155" s="606">
        <f>BG12+BG70+BG78+BG97+BG125+BG133+BG154+BG101</f>
        <v>61110115.11</v>
      </c>
      <c r="BI155" s="519" t="s">
        <v>864</v>
      </c>
      <c r="BJ155" s="540"/>
      <c r="BK155" s="533">
        <f>BK12+BK70+BK78+BK97+BK101+BK125+BK133</f>
        <v>40000000</v>
      </c>
      <c r="BL155" s="577">
        <f>BL12+BL70+BL78+BL97+BL125+BL133+BL154+BL101</f>
        <v>3286730.82</v>
      </c>
      <c r="BM155" s="606">
        <f>BM12+BM70+BM78+BM97+BM125+BM133+BM154+BM101</f>
        <v>64396845.93000001</v>
      </c>
      <c r="BO155" s="519" t="s">
        <v>864</v>
      </c>
      <c r="BP155" s="540"/>
      <c r="BQ155" s="533">
        <f>BQ12+BQ70+BQ78+BQ97+BQ101+BQ125+BQ133</f>
        <v>40000000</v>
      </c>
      <c r="BR155" s="577">
        <f>BR12+BR70+BR78+BR97+BR125+BR133+BR154+BR101</f>
        <v>2308035.6499999994</v>
      </c>
      <c r="BS155" s="606">
        <f>BS12+BS70+BS78+BS97+BS125+BS133+BS154+BS101</f>
        <v>66704881.58</v>
      </c>
      <c r="BT155" s="535">
        <v>66704881.58000001</v>
      </c>
      <c r="BU155" s="579">
        <f>+BT155-BS155</f>
        <v>0</v>
      </c>
    </row>
    <row r="156" spans="2:71" ht="24.75" hidden="1" thickTop="1">
      <c r="B156" s="541"/>
      <c r="C156" s="534"/>
      <c r="D156" s="541"/>
      <c r="E156" s="553"/>
      <c r="F156" s="506"/>
      <c r="K156" s="560">
        <f>+D155+J155</f>
        <v>12117642.360000001</v>
      </c>
      <c r="L156" s="579"/>
      <c r="P156" s="578"/>
      <c r="Q156" s="560">
        <f>+J155+P155+D155</f>
        <v>21186227.24</v>
      </c>
      <c r="V156" s="578"/>
      <c r="W156" s="560">
        <f>+D155+J155+P155+V155</f>
        <v>28524602.610000003</v>
      </c>
      <c r="AB156" s="578"/>
      <c r="AC156" s="560">
        <f>+J155+P155+V155+AB155+D155</f>
        <v>30267710.12</v>
      </c>
      <c r="AH156" s="578"/>
      <c r="AI156" s="560">
        <f>+P155+V155+AB155+AH155+J155+D155</f>
        <v>40934450.31</v>
      </c>
      <c r="AN156" s="578"/>
      <c r="AO156" s="560">
        <f>+V155+AB155+AH155+AN155+P155+J155+D155</f>
        <v>45698050.730000004</v>
      </c>
      <c r="AT156" s="578"/>
      <c r="AU156" s="560">
        <f>+AB155+AH155+AN155+AT155+V155+P155+J155+E155</f>
        <v>51089829.76</v>
      </c>
      <c r="AZ156" s="578"/>
      <c r="BA156" s="560">
        <f>+AH155+AN155+AT155+AZ155+AB155+V155+P155+K155</f>
        <v>55158505.29000001</v>
      </c>
      <c r="BF156" s="578"/>
      <c r="BG156" s="560">
        <f>+AN155+AT155+AZ155+BF155+AH155+AB155+V155+Q155</f>
        <v>61110115.11</v>
      </c>
      <c r="BL156" s="578"/>
      <c r="BM156" s="560">
        <f>+AT155+AZ155+BF155+BL155+AN155+AH155+AB155+W155</f>
        <v>64396845.92999999</v>
      </c>
      <c r="BR156" s="622">
        <v>3023135.65</v>
      </c>
      <c r="BS156" s="560">
        <f>+AZ155+BF155+BL155+BR155+AT155+AN155+AH155+AC155</f>
        <v>66704881.58</v>
      </c>
    </row>
    <row r="157" spans="1:71" ht="24" hidden="1">
      <c r="A157" s="506"/>
      <c r="B157" s="541"/>
      <c r="C157" s="534"/>
      <c r="D157" s="541"/>
      <c r="E157" s="553"/>
      <c r="F157" s="506"/>
      <c r="K157" s="579">
        <f>+K156-K155</f>
        <v>0</v>
      </c>
      <c r="P157" s="578"/>
      <c r="Q157" s="579">
        <f>+Q156-Q155</f>
        <v>0</v>
      </c>
      <c r="V157" s="578"/>
      <c r="W157" s="579">
        <f>+W156-W155</f>
        <v>0</v>
      </c>
      <c r="AB157" s="578"/>
      <c r="AC157" s="579">
        <f>+AC156-AC155</f>
        <v>0</v>
      </c>
      <c r="AH157" s="578"/>
      <c r="AI157" s="579">
        <f>+AI156-AI155</f>
        <v>0</v>
      </c>
      <c r="AN157" s="578"/>
      <c r="AO157" s="579">
        <f>+AO156-AO155</f>
        <v>0</v>
      </c>
      <c r="AT157" s="578"/>
      <c r="AU157" s="579">
        <f>+AU156-AU155</f>
        <v>0</v>
      </c>
      <c r="AZ157" s="578"/>
      <c r="BA157" s="579">
        <f>+BA156-BA155</f>
        <v>0</v>
      </c>
      <c r="BF157" s="578"/>
      <c r="BG157" s="579">
        <f>+BG156-BG155</f>
        <v>0</v>
      </c>
      <c r="BL157" s="578"/>
      <c r="BM157" s="579">
        <f>+BM156-BM155</f>
        <v>0</v>
      </c>
      <c r="BQ157" s="624" t="s">
        <v>946</v>
      </c>
      <c r="BR157" s="625">
        <f>+BR156-BR155</f>
        <v>715100.0000000005</v>
      </c>
      <c r="BS157" s="579">
        <f>+BS156-BS155</f>
        <v>0</v>
      </c>
    </row>
    <row r="158" spans="1:71" ht="24" hidden="1">
      <c r="A158" s="506"/>
      <c r="B158" s="541"/>
      <c r="C158" s="534"/>
      <c r="D158" s="541"/>
      <c r="E158" s="553"/>
      <c r="F158" s="523"/>
      <c r="AC158" s="579"/>
      <c r="AH158" s="611"/>
      <c r="AI158" s="579"/>
      <c r="AN158" s="611"/>
      <c r="AO158" s="579"/>
      <c r="AT158" s="611"/>
      <c r="AU158" s="579"/>
      <c r="AZ158" s="611"/>
      <c r="BA158" s="579"/>
      <c r="BF158" s="611"/>
      <c r="BG158" s="579"/>
      <c r="BL158" s="611"/>
      <c r="BM158" s="579"/>
      <c r="BR158" s="611"/>
      <c r="BS158" s="579"/>
    </row>
    <row r="159" spans="1:71" ht="24" hidden="1">
      <c r="A159" s="506"/>
      <c r="B159" s="541"/>
      <c r="C159" s="534"/>
      <c r="D159" s="541"/>
      <c r="E159" s="553"/>
      <c r="F159" s="506"/>
      <c r="W159" s="579"/>
      <c r="AC159" s="579"/>
      <c r="AI159" s="579"/>
      <c r="AO159" s="579"/>
      <c r="AU159" s="579"/>
      <c r="BA159" s="579"/>
      <c r="BG159" s="579"/>
      <c r="BM159" s="579"/>
      <c r="BS159" s="579"/>
    </row>
    <row r="160" spans="1:71" ht="24.75" thickTop="1">
      <c r="A160" s="506"/>
      <c r="B160" s="541"/>
      <c r="C160" s="534"/>
      <c r="D160" s="541"/>
      <c r="E160" s="553"/>
      <c r="F160" s="506"/>
      <c r="BS160" s="579"/>
    </row>
    <row r="161" ht="24">
      <c r="A161" s="506"/>
    </row>
    <row r="162" ht="24">
      <c r="A162" s="506"/>
    </row>
    <row r="163" ht="24">
      <c r="A163" s="506"/>
    </row>
    <row r="164" ht="24">
      <c r="A164" s="506"/>
    </row>
    <row r="165" ht="24">
      <c r="A165" s="506"/>
    </row>
    <row r="166" ht="24">
      <c r="A166" s="506"/>
    </row>
    <row r="167" ht="24">
      <c r="A167" s="506"/>
    </row>
    <row r="168" ht="24">
      <c r="A168" s="506"/>
    </row>
    <row r="169" ht="24">
      <c r="A169" s="506"/>
    </row>
    <row r="170" spans="1:5" ht="24">
      <c r="A170" s="506"/>
      <c r="B170" s="541"/>
      <c r="C170" s="534"/>
      <c r="D170" s="541"/>
      <c r="E170" s="553"/>
    </row>
    <row r="171" spans="1:5" ht="24">
      <c r="A171" s="506"/>
      <c r="B171" s="541"/>
      <c r="C171" s="534"/>
      <c r="D171" s="541"/>
      <c r="E171" s="553"/>
    </row>
    <row r="172" spans="1:5" ht="24">
      <c r="A172" s="506"/>
      <c r="B172" s="541"/>
      <c r="C172" s="534"/>
      <c r="D172" s="541"/>
      <c r="E172" s="553"/>
    </row>
    <row r="173" spans="1:5" ht="24">
      <c r="A173" s="506"/>
      <c r="B173" s="541"/>
      <c r="C173" s="534"/>
      <c r="D173" s="541"/>
      <c r="E173" s="553"/>
    </row>
    <row r="174" spans="1:5" ht="24">
      <c r="A174" s="506"/>
      <c r="B174" s="541"/>
      <c r="C174" s="534"/>
      <c r="D174" s="541"/>
      <c r="E174" s="553"/>
    </row>
    <row r="175" spans="1:5" ht="24">
      <c r="A175" s="506"/>
      <c r="B175" s="541"/>
      <c r="C175" s="534"/>
      <c r="D175" s="541"/>
      <c r="E175" s="553"/>
    </row>
    <row r="176" spans="1:5" ht="24">
      <c r="A176" s="506"/>
      <c r="B176" s="541"/>
      <c r="C176" s="534"/>
      <c r="D176" s="541"/>
      <c r="E176" s="553"/>
    </row>
    <row r="177" spans="1:5" ht="24">
      <c r="A177" s="506"/>
      <c r="B177" s="541"/>
      <c r="C177" s="534"/>
      <c r="D177" s="541"/>
      <c r="E177" s="553"/>
    </row>
    <row r="178" spans="1:5" ht="24">
      <c r="A178" s="506"/>
      <c r="B178" s="541"/>
      <c r="C178" s="534"/>
      <c r="D178" s="541"/>
      <c r="E178" s="553"/>
    </row>
    <row r="179" spans="1:5" ht="24">
      <c r="A179" s="506"/>
      <c r="B179" s="541"/>
      <c r="C179" s="534"/>
      <c r="D179" s="541"/>
      <c r="E179" s="553"/>
    </row>
    <row r="180" spans="1:5" ht="24">
      <c r="A180" s="506"/>
      <c r="B180" s="541"/>
      <c r="C180" s="534"/>
      <c r="D180" s="541"/>
      <c r="E180" s="553"/>
    </row>
    <row r="181" spans="1:5" ht="24">
      <c r="A181" s="506"/>
      <c r="B181" s="541"/>
      <c r="C181" s="534"/>
      <c r="D181" s="541"/>
      <c r="E181" s="553"/>
    </row>
    <row r="182" spans="1:5" ht="24">
      <c r="A182" s="506"/>
      <c r="B182" s="541"/>
      <c r="C182" s="534"/>
      <c r="D182" s="541"/>
      <c r="E182" s="553"/>
    </row>
    <row r="183" spans="1:5" ht="24">
      <c r="A183" s="506"/>
      <c r="B183" s="541"/>
      <c r="C183" s="534"/>
      <c r="D183" s="541"/>
      <c r="E183" s="553"/>
    </row>
    <row r="184" spans="1:5" ht="24">
      <c r="A184" s="506"/>
      <c r="B184" s="541"/>
      <c r="C184" s="534"/>
      <c r="D184" s="541"/>
      <c r="E184" s="553"/>
    </row>
    <row r="185" spans="1:5" ht="24">
      <c r="A185" s="506"/>
      <c r="B185" s="541"/>
      <c r="C185" s="534"/>
      <c r="D185" s="541"/>
      <c r="E185" s="553"/>
    </row>
    <row r="186" spans="1:5" ht="24">
      <c r="A186" s="506"/>
      <c r="B186" s="541"/>
      <c r="C186" s="534"/>
      <c r="D186" s="541"/>
      <c r="E186" s="553"/>
    </row>
    <row r="187" spans="1:5" ht="24">
      <c r="A187" s="506"/>
      <c r="B187" s="541"/>
      <c r="C187" s="534"/>
      <c r="D187" s="541"/>
      <c r="E187" s="553"/>
    </row>
    <row r="188" spans="1:5" ht="24">
      <c r="A188" s="506"/>
      <c r="B188" s="541"/>
      <c r="C188" s="534"/>
      <c r="D188" s="541"/>
      <c r="E188" s="553"/>
    </row>
    <row r="189" spans="1:5" ht="24">
      <c r="A189" s="506"/>
      <c r="B189" s="541"/>
      <c r="C189" s="534"/>
      <c r="D189" s="541"/>
      <c r="E189" s="553"/>
    </row>
    <row r="190" spans="1:5" ht="24">
      <c r="A190" s="506"/>
      <c r="B190" s="541"/>
      <c r="C190" s="534"/>
      <c r="D190" s="541"/>
      <c r="E190" s="553"/>
    </row>
    <row r="191" spans="1:5" ht="24">
      <c r="A191" s="506"/>
      <c r="B191" s="541"/>
      <c r="C191" s="534"/>
      <c r="D191" s="541"/>
      <c r="E191" s="553"/>
    </row>
    <row r="192" spans="1:5" ht="24">
      <c r="A192" s="506"/>
      <c r="B192" s="541"/>
      <c r="C192" s="534"/>
      <c r="D192" s="541"/>
      <c r="E192" s="553"/>
    </row>
    <row r="193" spans="1:5" ht="24">
      <c r="A193" s="506"/>
      <c r="B193" s="541"/>
      <c r="C193" s="534"/>
      <c r="D193" s="541"/>
      <c r="E193" s="553"/>
    </row>
    <row r="194" spans="1:5" ht="24">
      <c r="A194" s="506"/>
      <c r="B194" s="541"/>
      <c r="C194" s="534"/>
      <c r="D194" s="541"/>
      <c r="E194" s="553"/>
    </row>
    <row r="195" spans="1:5" ht="24">
      <c r="A195" s="506"/>
      <c r="B195" s="541"/>
      <c r="C195" s="534"/>
      <c r="D195" s="541"/>
      <c r="E195" s="553"/>
    </row>
    <row r="196" spans="1:5" ht="24">
      <c r="A196" s="506"/>
      <c r="B196" s="541"/>
      <c r="C196" s="534"/>
      <c r="D196" s="541"/>
      <c r="E196" s="553"/>
    </row>
    <row r="197" spans="1:5" ht="24">
      <c r="A197" s="506"/>
      <c r="B197" s="541"/>
      <c r="C197" s="534"/>
      <c r="D197" s="541"/>
      <c r="E197" s="553"/>
    </row>
    <row r="198" spans="1:5" ht="24">
      <c r="A198" s="506"/>
      <c r="B198" s="541"/>
      <c r="C198" s="534"/>
      <c r="D198" s="541"/>
      <c r="E198" s="553"/>
    </row>
    <row r="199" spans="1:5" ht="24">
      <c r="A199" s="506"/>
      <c r="B199" s="541"/>
      <c r="C199" s="534"/>
      <c r="D199" s="541"/>
      <c r="E199" s="553"/>
    </row>
    <row r="200" spans="1:5" ht="24">
      <c r="A200" s="506"/>
      <c r="B200" s="541"/>
      <c r="C200" s="534"/>
      <c r="D200" s="541"/>
      <c r="E200" s="553"/>
    </row>
    <row r="201" spans="1:5" ht="24">
      <c r="A201" s="506"/>
      <c r="B201" s="541"/>
      <c r="C201" s="534"/>
      <c r="D201" s="541"/>
      <c r="E201" s="553"/>
    </row>
    <row r="202" spans="1:5" ht="24">
      <c r="A202" s="506"/>
      <c r="B202" s="541"/>
      <c r="C202" s="534"/>
      <c r="D202" s="541"/>
      <c r="E202" s="553"/>
    </row>
    <row r="203" spans="1:5" ht="24">
      <c r="A203" s="506"/>
      <c r="B203" s="541"/>
      <c r="C203" s="534"/>
      <c r="D203" s="541"/>
      <c r="E203" s="553"/>
    </row>
    <row r="204" spans="1:5" ht="24">
      <c r="A204" s="506"/>
      <c r="B204" s="541"/>
      <c r="C204" s="534"/>
      <c r="D204" s="541"/>
      <c r="E204" s="553"/>
    </row>
    <row r="205" spans="1:5" ht="24">
      <c r="A205" s="506"/>
      <c r="B205" s="541"/>
      <c r="C205" s="534"/>
      <c r="D205" s="541"/>
      <c r="E205" s="553"/>
    </row>
    <row r="206" spans="1:5" ht="24">
      <c r="A206" s="506"/>
      <c r="B206" s="541"/>
      <c r="C206" s="534"/>
      <c r="D206" s="541"/>
      <c r="E206" s="553"/>
    </row>
    <row r="207" spans="1:5" ht="24">
      <c r="A207" s="506"/>
      <c r="B207" s="541"/>
      <c r="C207" s="534"/>
      <c r="D207" s="541"/>
      <c r="E207" s="553"/>
    </row>
    <row r="208" spans="1:5" ht="24">
      <c r="A208" s="506"/>
      <c r="B208" s="541"/>
      <c r="C208" s="534"/>
      <c r="D208" s="541"/>
      <c r="E208" s="553"/>
    </row>
    <row r="209" spans="1:5" ht="24">
      <c r="A209" s="506"/>
      <c r="B209" s="541"/>
      <c r="C209" s="534"/>
      <c r="D209" s="541"/>
      <c r="E209" s="553"/>
    </row>
    <row r="210" spans="1:5" ht="24">
      <c r="A210" s="506"/>
      <c r="B210" s="541"/>
      <c r="C210" s="534"/>
      <c r="D210" s="541"/>
      <c r="E210" s="553"/>
    </row>
    <row r="211" spans="1:5" ht="24">
      <c r="A211" s="506"/>
      <c r="B211" s="541"/>
      <c r="C211" s="534"/>
      <c r="D211" s="541"/>
      <c r="E211" s="553"/>
    </row>
    <row r="212" spans="1:5" ht="24">
      <c r="A212" s="506"/>
      <c r="B212" s="541"/>
      <c r="C212" s="534"/>
      <c r="D212" s="541"/>
      <c r="E212" s="553"/>
    </row>
    <row r="213" spans="1:5" ht="24">
      <c r="A213" s="506"/>
      <c r="B213" s="541"/>
      <c r="C213" s="534"/>
      <c r="D213" s="541"/>
      <c r="E213" s="553"/>
    </row>
    <row r="214" spans="1:5" ht="24">
      <c r="A214" s="506"/>
      <c r="B214" s="541"/>
      <c r="C214" s="534"/>
      <c r="D214" s="541"/>
      <c r="E214" s="553"/>
    </row>
    <row r="215" spans="1:5" ht="24">
      <c r="A215" s="506"/>
      <c r="B215" s="541"/>
      <c r="C215" s="534"/>
      <c r="D215" s="541"/>
      <c r="E215" s="553"/>
    </row>
    <row r="216" spans="1:5" ht="24">
      <c r="A216" s="506"/>
      <c r="B216" s="541"/>
      <c r="C216" s="534"/>
      <c r="D216" s="541"/>
      <c r="E216" s="553"/>
    </row>
    <row r="217" spans="1:5" ht="24">
      <c r="A217" s="506"/>
      <c r="B217" s="541"/>
      <c r="C217" s="534"/>
      <c r="D217" s="541"/>
      <c r="E217" s="553"/>
    </row>
    <row r="218" spans="1:5" ht="24">
      <c r="A218" s="506"/>
      <c r="B218" s="541"/>
      <c r="C218" s="534"/>
      <c r="D218" s="541"/>
      <c r="E218" s="553"/>
    </row>
    <row r="219" spans="1:5" ht="24">
      <c r="A219" s="506"/>
      <c r="B219" s="541"/>
      <c r="C219" s="534"/>
      <c r="D219" s="541"/>
      <c r="E219" s="553"/>
    </row>
    <row r="220" spans="1:5" ht="24">
      <c r="A220" s="506"/>
      <c r="B220" s="541"/>
      <c r="C220" s="534"/>
      <c r="D220" s="541"/>
      <c r="E220" s="553"/>
    </row>
    <row r="221" spans="1:5" ht="24">
      <c r="A221" s="506"/>
      <c r="B221" s="541"/>
      <c r="C221" s="534"/>
      <c r="D221" s="541"/>
      <c r="E221" s="553"/>
    </row>
    <row r="222" spans="1:5" ht="24">
      <c r="A222" s="506"/>
      <c r="B222" s="541"/>
      <c r="C222" s="534"/>
      <c r="D222" s="541"/>
      <c r="E222" s="553"/>
    </row>
    <row r="223" spans="1:5" ht="24">
      <c r="A223" s="506"/>
      <c r="B223" s="541"/>
      <c r="C223" s="534"/>
      <c r="D223" s="541"/>
      <c r="E223" s="553"/>
    </row>
    <row r="224" spans="1:5" ht="24">
      <c r="A224" s="506"/>
      <c r="B224" s="541"/>
      <c r="C224" s="534"/>
      <c r="D224" s="541"/>
      <c r="E224" s="553"/>
    </row>
    <row r="225" spans="1:5" ht="24">
      <c r="A225" s="506"/>
      <c r="B225" s="541"/>
      <c r="C225" s="534"/>
      <c r="D225" s="541"/>
      <c r="E225" s="553"/>
    </row>
    <row r="226" spans="1:5" ht="24">
      <c r="A226" s="506"/>
      <c r="B226" s="541"/>
      <c r="C226" s="534"/>
      <c r="D226" s="541"/>
      <c r="E226" s="553"/>
    </row>
    <row r="227" spans="1:5" ht="24">
      <c r="A227" s="506"/>
      <c r="B227" s="541"/>
      <c r="C227" s="534"/>
      <c r="D227" s="541"/>
      <c r="E227" s="553"/>
    </row>
    <row r="228" spans="1:5" ht="24">
      <c r="A228" s="506"/>
      <c r="B228" s="541"/>
      <c r="C228" s="534"/>
      <c r="D228" s="541"/>
      <c r="E228" s="553"/>
    </row>
    <row r="229" spans="1:5" ht="24">
      <c r="A229" s="506"/>
      <c r="B229" s="541"/>
      <c r="C229" s="534"/>
      <c r="D229" s="541"/>
      <c r="E229" s="553"/>
    </row>
    <row r="230" spans="1:5" ht="24">
      <c r="A230" s="506"/>
      <c r="B230" s="541"/>
      <c r="C230" s="534"/>
      <c r="D230" s="541"/>
      <c r="E230" s="553"/>
    </row>
    <row r="231" spans="1:5" ht="24">
      <c r="A231" s="506"/>
      <c r="B231" s="541"/>
      <c r="C231" s="534"/>
      <c r="D231" s="541"/>
      <c r="E231" s="553"/>
    </row>
    <row r="232" spans="1:5" ht="24">
      <c r="A232" s="506"/>
      <c r="B232" s="541"/>
      <c r="C232" s="534"/>
      <c r="D232" s="541"/>
      <c r="E232" s="553"/>
    </row>
    <row r="233" spans="1:5" ht="24">
      <c r="A233" s="506"/>
      <c r="B233" s="541"/>
      <c r="C233" s="534"/>
      <c r="D233" s="541"/>
      <c r="E233" s="553"/>
    </row>
    <row r="234" ht="24">
      <c r="A234" s="506"/>
    </row>
    <row r="235" ht="24">
      <c r="A235" s="506"/>
    </row>
    <row r="236" ht="24">
      <c r="A236" s="506"/>
    </row>
    <row r="237" ht="24">
      <c r="A237" s="506"/>
    </row>
    <row r="238" ht="24">
      <c r="A238" s="506"/>
    </row>
    <row r="239" ht="24">
      <c r="A239" s="506"/>
    </row>
    <row r="240" ht="24">
      <c r="A240" s="506"/>
    </row>
    <row r="241" ht="24">
      <c r="A241" s="506"/>
    </row>
    <row r="242" ht="24">
      <c r="A242" s="506"/>
    </row>
    <row r="243" ht="24">
      <c r="A243" s="506"/>
    </row>
    <row r="244" ht="24">
      <c r="A244" s="506"/>
    </row>
    <row r="245" ht="24">
      <c r="A245" s="506"/>
    </row>
    <row r="246" ht="24">
      <c r="A246" s="506"/>
    </row>
    <row r="247" ht="24">
      <c r="A247" s="506"/>
    </row>
    <row r="248" ht="24">
      <c r="A248" s="506"/>
    </row>
    <row r="249" ht="24">
      <c r="A249" s="506"/>
    </row>
    <row r="250" ht="24">
      <c r="A250" s="506"/>
    </row>
    <row r="251" ht="24">
      <c r="A251" s="506"/>
    </row>
    <row r="252" ht="24">
      <c r="A252" s="506"/>
    </row>
    <row r="253" ht="24">
      <c r="A253" s="506"/>
    </row>
    <row r="254" ht="24">
      <c r="A254" s="506"/>
    </row>
    <row r="255" ht="24">
      <c r="A255" s="506"/>
    </row>
    <row r="256" ht="24">
      <c r="A256" s="506"/>
    </row>
    <row r="257" ht="24">
      <c r="A257" s="506"/>
    </row>
    <row r="258" ht="24">
      <c r="A258" s="506"/>
    </row>
  </sheetData>
  <sheetProtection/>
  <mergeCells count="83">
    <mergeCell ref="BO1:BR1"/>
    <mergeCell ref="BO2:BS2"/>
    <mergeCell ref="BO3:BS3"/>
    <mergeCell ref="BO4:BO5"/>
    <mergeCell ref="BP4:BP5"/>
    <mergeCell ref="BQ4:BQ5"/>
    <mergeCell ref="BR4:BR5"/>
    <mergeCell ref="AW1:AZ1"/>
    <mergeCell ref="AW2:BA2"/>
    <mergeCell ref="AW3:BA3"/>
    <mergeCell ref="AW4:AW5"/>
    <mergeCell ref="AX4:AX5"/>
    <mergeCell ref="AY4:AY5"/>
    <mergeCell ref="AZ4:AZ5"/>
    <mergeCell ref="AK1:AN1"/>
    <mergeCell ref="AK2:AO2"/>
    <mergeCell ref="AK3:AO3"/>
    <mergeCell ref="AK4:AK5"/>
    <mergeCell ref="AL4:AL5"/>
    <mergeCell ref="AM4:AM5"/>
    <mergeCell ref="AN4:AN5"/>
    <mergeCell ref="O4:O5"/>
    <mergeCell ref="S2:W2"/>
    <mergeCell ref="S3:W3"/>
    <mergeCell ref="S4:S5"/>
    <mergeCell ref="T4:T5"/>
    <mergeCell ref="U4:U5"/>
    <mergeCell ref="V4:V5"/>
    <mergeCell ref="C4:C5"/>
    <mergeCell ref="S1:V1"/>
    <mergeCell ref="G2:K2"/>
    <mergeCell ref="G3:K3"/>
    <mergeCell ref="G4:G5"/>
    <mergeCell ref="M1:Q1"/>
    <mergeCell ref="M2:Q2"/>
    <mergeCell ref="M3:Q3"/>
    <mergeCell ref="M4:M5"/>
    <mergeCell ref="N4:N5"/>
    <mergeCell ref="D4:D5"/>
    <mergeCell ref="P4:P5"/>
    <mergeCell ref="H4:H5"/>
    <mergeCell ref="I4:I5"/>
    <mergeCell ref="J4:J5"/>
    <mergeCell ref="G1:K1"/>
    <mergeCell ref="A2:E2"/>
    <mergeCell ref="A3:E3"/>
    <mergeCell ref="A4:A5"/>
    <mergeCell ref="B4:B5"/>
    <mergeCell ref="Y1:AB1"/>
    <mergeCell ref="Y2:AC2"/>
    <mergeCell ref="Y3:AC3"/>
    <mergeCell ref="Y4:Y5"/>
    <mergeCell ref="Z4:Z5"/>
    <mergeCell ref="AA4:AA5"/>
    <mergeCell ref="AB4:AB5"/>
    <mergeCell ref="AE1:AH1"/>
    <mergeCell ref="AE2:AI2"/>
    <mergeCell ref="AE3:AI3"/>
    <mergeCell ref="AE4:AE5"/>
    <mergeCell ref="AF4:AF5"/>
    <mergeCell ref="AG4:AG5"/>
    <mergeCell ref="AH4:AH5"/>
    <mergeCell ref="AQ1:AT1"/>
    <mergeCell ref="AQ2:AU2"/>
    <mergeCell ref="AQ3:AU3"/>
    <mergeCell ref="AQ4:AQ5"/>
    <mergeCell ref="AR4:AR5"/>
    <mergeCell ref="AS4:AS5"/>
    <mergeCell ref="AT4:AT5"/>
    <mergeCell ref="BC1:BF1"/>
    <mergeCell ref="BC2:BG2"/>
    <mergeCell ref="BC3:BG3"/>
    <mergeCell ref="BC4:BC5"/>
    <mergeCell ref="BD4:BD5"/>
    <mergeCell ref="BE4:BE5"/>
    <mergeCell ref="BF4:BF5"/>
    <mergeCell ref="BI1:BL1"/>
    <mergeCell ref="BI2:BM2"/>
    <mergeCell ref="BI3:BM3"/>
    <mergeCell ref="BI4:BI5"/>
    <mergeCell ref="BJ4:BJ5"/>
    <mergeCell ref="BK4:BK5"/>
    <mergeCell ref="BL4:BL5"/>
  </mergeCells>
  <printOptions/>
  <pageMargins left="0.2755905511811024" right="0.15748031496062992" top="0.5118110236220472" bottom="0.4724409448818898" header="0.4724409448818898" footer="0.1968503937007874"/>
  <pageSetup horizontalDpi="180" verticalDpi="180" orientation="portrait" paperSize="9" scale="90" r:id="rId1"/>
  <headerFooter alignWithMargins="0">
    <oddFooter>&amp;R&amp;ห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49"/>
  <sheetViews>
    <sheetView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4.140625" style="353" customWidth="1"/>
    <col min="2" max="2" width="17.140625" style="353" customWidth="1"/>
    <col min="3" max="3" width="13.8515625" style="368" customWidth="1"/>
    <col min="4" max="4" width="12.421875" style="353" customWidth="1"/>
    <col min="5" max="5" width="11.421875" style="353" customWidth="1"/>
    <col min="6" max="6" width="10.8515625" style="353" customWidth="1"/>
    <col min="7" max="7" width="11.8515625" style="353" bestFit="1" customWidth="1"/>
    <col min="8" max="8" width="12.57421875" style="353" customWidth="1"/>
    <col min="9" max="9" width="11.8515625" style="353" bestFit="1" customWidth="1"/>
    <col min="10" max="10" width="11.140625" style="353" customWidth="1"/>
    <col min="11" max="11" width="10.7109375" style="353" bestFit="1" customWidth="1"/>
    <col min="12" max="12" width="12.00390625" style="353" customWidth="1"/>
    <col min="13" max="13" width="13.140625" style="353" bestFit="1" customWidth="1"/>
    <col min="14" max="15" width="9.421875" style="353" bestFit="1" customWidth="1"/>
    <col min="16" max="16" width="11.7109375" style="353" bestFit="1" customWidth="1"/>
    <col min="17" max="18" width="11.8515625" style="353" bestFit="1" customWidth="1"/>
    <col min="19" max="19" width="12.28125" style="353" customWidth="1"/>
    <col min="20" max="20" width="9.421875" style="353" bestFit="1" customWidth="1"/>
    <col min="21" max="21" width="10.00390625" style="353" customWidth="1"/>
    <col min="22" max="22" width="12.8515625" style="353" customWidth="1"/>
    <col min="23" max="23" width="14.28125" style="352" customWidth="1"/>
    <col min="24" max="24" width="4.140625" style="353" customWidth="1"/>
    <col min="25" max="25" width="17.140625" style="353" customWidth="1"/>
    <col min="26" max="26" width="15.7109375" style="353" customWidth="1"/>
    <col min="27" max="27" width="12.8515625" style="353" customWidth="1"/>
    <col min="28" max="16384" width="9.140625" style="353" customWidth="1"/>
  </cols>
  <sheetData>
    <row r="1" spans="1:23" s="321" customFormat="1" ht="23.25">
      <c r="A1" s="832" t="s">
        <v>533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</row>
    <row r="2" spans="1:23" s="321" customFormat="1" ht="23.25">
      <c r="A2" s="832" t="s">
        <v>534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</row>
    <row r="3" spans="1:23" s="410" customFormat="1" ht="23.25">
      <c r="A3" s="833" t="s">
        <v>535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</row>
    <row r="4" s="321" customFormat="1" ht="13.5" customHeight="1">
      <c r="W4" s="322"/>
    </row>
    <row r="5" spans="1:25" s="321" customFormat="1" ht="23.25">
      <c r="A5" s="817" t="s">
        <v>536</v>
      </c>
      <c r="B5" s="818"/>
      <c r="C5" s="819" t="s">
        <v>537</v>
      </c>
      <c r="D5" s="820"/>
      <c r="E5" s="821" t="s">
        <v>538</v>
      </c>
      <c r="F5" s="822"/>
      <c r="G5" s="819" t="s">
        <v>539</v>
      </c>
      <c r="H5" s="820"/>
      <c r="I5" s="323" t="s">
        <v>540</v>
      </c>
      <c r="J5" s="819" t="s">
        <v>541</v>
      </c>
      <c r="K5" s="820"/>
      <c r="L5" s="823" t="s">
        <v>542</v>
      </c>
      <c r="M5" s="824"/>
      <c r="N5" s="824"/>
      <c r="O5" s="825"/>
      <c r="P5" s="324" t="s">
        <v>28</v>
      </c>
      <c r="Q5" s="826" t="s">
        <v>543</v>
      </c>
      <c r="R5" s="827"/>
      <c r="S5" s="828" t="s">
        <v>544</v>
      </c>
      <c r="T5" s="829"/>
      <c r="U5" s="325" t="s">
        <v>545</v>
      </c>
      <c r="V5" s="326" t="s">
        <v>546</v>
      </c>
      <c r="W5" s="322"/>
      <c r="X5" s="830" t="s">
        <v>547</v>
      </c>
      <c r="Y5" s="831"/>
    </row>
    <row r="6" spans="1:25" s="321" customFormat="1" ht="23.25">
      <c r="A6" s="327"/>
      <c r="B6" s="328"/>
      <c r="C6" s="329" t="s">
        <v>548</v>
      </c>
      <c r="D6" s="330" t="s">
        <v>549</v>
      </c>
      <c r="E6" s="331" t="s">
        <v>550</v>
      </c>
      <c r="F6" s="332" t="s">
        <v>551</v>
      </c>
      <c r="G6" s="329" t="s">
        <v>548</v>
      </c>
      <c r="H6" s="329" t="s">
        <v>552</v>
      </c>
      <c r="I6" s="331" t="s">
        <v>537</v>
      </c>
      <c r="J6" s="331" t="s">
        <v>537</v>
      </c>
      <c r="K6" s="331" t="s">
        <v>553</v>
      </c>
      <c r="L6" s="331" t="s">
        <v>537</v>
      </c>
      <c r="M6" s="333" t="s">
        <v>554</v>
      </c>
      <c r="N6" s="332" t="s">
        <v>555</v>
      </c>
      <c r="O6" s="329" t="s">
        <v>556</v>
      </c>
      <c r="P6" s="332" t="s">
        <v>557</v>
      </c>
      <c r="Q6" s="329" t="s">
        <v>558</v>
      </c>
      <c r="R6" s="329" t="s">
        <v>559</v>
      </c>
      <c r="S6" s="329" t="s">
        <v>560</v>
      </c>
      <c r="T6" s="334" t="s">
        <v>561</v>
      </c>
      <c r="U6" s="334" t="s">
        <v>562</v>
      </c>
      <c r="V6" s="335" t="s">
        <v>546</v>
      </c>
      <c r="W6" s="322"/>
      <c r="X6" s="327"/>
      <c r="Y6" s="328"/>
    </row>
    <row r="7" spans="1:25" s="321" customFormat="1" ht="21.75" customHeight="1">
      <c r="A7" s="336"/>
      <c r="B7" s="337"/>
      <c r="C7" s="338" t="s">
        <v>537</v>
      </c>
      <c r="D7" s="339" t="s">
        <v>563</v>
      </c>
      <c r="E7" s="340" t="s">
        <v>564</v>
      </c>
      <c r="F7" s="339" t="s">
        <v>565</v>
      </c>
      <c r="G7" s="341" t="s">
        <v>566</v>
      </c>
      <c r="H7" s="340" t="s">
        <v>567</v>
      </c>
      <c r="I7" s="342" t="s">
        <v>568</v>
      </c>
      <c r="J7" s="342" t="s">
        <v>541</v>
      </c>
      <c r="K7" s="339" t="s">
        <v>569</v>
      </c>
      <c r="L7" s="342" t="s">
        <v>570</v>
      </c>
      <c r="M7" s="343" t="s">
        <v>571</v>
      </c>
      <c r="N7" s="340" t="s">
        <v>572</v>
      </c>
      <c r="O7" s="341" t="s">
        <v>573</v>
      </c>
      <c r="P7" s="340" t="s">
        <v>574</v>
      </c>
      <c r="Q7" s="341" t="s">
        <v>575</v>
      </c>
      <c r="R7" s="341" t="s">
        <v>576</v>
      </c>
      <c r="S7" s="341" t="s">
        <v>544</v>
      </c>
      <c r="T7" s="344" t="s">
        <v>577</v>
      </c>
      <c r="U7" s="345" t="s">
        <v>578</v>
      </c>
      <c r="V7" s="346"/>
      <c r="W7" s="322"/>
      <c r="X7" s="336"/>
      <c r="Y7" s="337"/>
    </row>
    <row r="8" spans="1:25" s="321" customFormat="1" ht="21.75" customHeight="1">
      <c r="A8" s="813" t="s">
        <v>579</v>
      </c>
      <c r="B8" s="814"/>
      <c r="C8" s="347" t="s">
        <v>4</v>
      </c>
      <c r="D8" s="347" t="s">
        <v>5</v>
      </c>
      <c r="E8" s="347" t="s">
        <v>10</v>
      </c>
      <c r="F8" s="347" t="s">
        <v>11</v>
      </c>
      <c r="G8" s="347" t="s">
        <v>12</v>
      </c>
      <c r="H8" s="347" t="s">
        <v>13</v>
      </c>
      <c r="I8" s="347" t="s">
        <v>14</v>
      </c>
      <c r="J8" s="347" t="s">
        <v>15</v>
      </c>
      <c r="K8" s="347" t="s">
        <v>16</v>
      </c>
      <c r="L8" s="347" t="s">
        <v>17</v>
      </c>
      <c r="M8" s="348" t="s">
        <v>18</v>
      </c>
      <c r="N8" s="348" t="s">
        <v>19</v>
      </c>
      <c r="O8" s="348" t="s">
        <v>20</v>
      </c>
      <c r="P8" s="348" t="s">
        <v>21</v>
      </c>
      <c r="Q8" s="348" t="s">
        <v>22</v>
      </c>
      <c r="R8" s="348" t="s">
        <v>23</v>
      </c>
      <c r="S8" s="348" t="s">
        <v>24</v>
      </c>
      <c r="T8" s="348" t="s">
        <v>580</v>
      </c>
      <c r="U8" s="348" t="s">
        <v>581</v>
      </c>
      <c r="V8" s="347" t="s">
        <v>25</v>
      </c>
      <c r="W8" s="322"/>
      <c r="X8" s="815" t="s">
        <v>579</v>
      </c>
      <c r="Y8" s="816"/>
    </row>
    <row r="9" spans="1:25" ht="23.25">
      <c r="A9" s="349" t="s">
        <v>582</v>
      </c>
      <c r="B9" s="350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X9" s="349" t="s">
        <v>582</v>
      </c>
      <c r="Y9" s="350"/>
    </row>
    <row r="10" spans="1:25" ht="23.25">
      <c r="A10" s="354"/>
      <c r="B10" s="355" t="s">
        <v>583</v>
      </c>
      <c r="C10" s="356">
        <v>218720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X10" s="354"/>
      <c r="Y10" s="355" t="s">
        <v>583</v>
      </c>
    </row>
    <row r="11" spans="1:25" ht="23.25">
      <c r="A11" s="354"/>
      <c r="B11" s="355" t="s">
        <v>584</v>
      </c>
      <c r="C11" s="356">
        <v>106510</v>
      </c>
      <c r="D11" s="356">
        <v>67150</v>
      </c>
      <c r="E11" s="356">
        <v>17570</v>
      </c>
      <c r="F11" s="356"/>
      <c r="G11" s="356">
        <v>16920</v>
      </c>
      <c r="H11" s="356"/>
      <c r="I11" s="356">
        <v>16920</v>
      </c>
      <c r="J11" s="356">
        <v>17690</v>
      </c>
      <c r="K11" s="351"/>
      <c r="L11" s="356">
        <v>35020</v>
      </c>
      <c r="M11" s="351"/>
      <c r="N11" s="351"/>
      <c r="O11" s="351"/>
      <c r="P11" s="351"/>
      <c r="Q11" s="351"/>
      <c r="R11" s="351"/>
      <c r="S11" s="356">
        <v>16240</v>
      </c>
      <c r="T11" s="351"/>
      <c r="U11" s="351"/>
      <c r="V11" s="351"/>
      <c r="X11" s="354"/>
      <c r="Y11" s="355" t="s">
        <v>584</v>
      </c>
    </row>
    <row r="12" spans="1:25" ht="23.25">
      <c r="A12" s="354"/>
      <c r="B12" s="355" t="s">
        <v>585</v>
      </c>
      <c r="C12" s="356">
        <v>3000</v>
      </c>
      <c r="D12" s="351">
        <v>0</v>
      </c>
      <c r="E12" s="351"/>
      <c r="F12" s="351"/>
      <c r="G12" s="351"/>
      <c r="H12" s="351"/>
      <c r="I12" s="351">
        <v>730</v>
      </c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X12" s="354"/>
      <c r="Y12" s="355" t="s">
        <v>585</v>
      </c>
    </row>
    <row r="13" spans="1:25" ht="23.25">
      <c r="A13" s="354"/>
      <c r="B13" s="355" t="s">
        <v>586</v>
      </c>
      <c r="C13" s="351">
        <v>7000</v>
      </c>
      <c r="D13" s="351">
        <v>3500</v>
      </c>
      <c r="E13" s="351"/>
      <c r="F13" s="351"/>
      <c r="G13" s="351">
        <v>3500</v>
      </c>
      <c r="H13" s="351"/>
      <c r="I13" s="351">
        <v>3500</v>
      </c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X13" s="354"/>
      <c r="Y13" s="355" t="s">
        <v>586</v>
      </c>
    </row>
    <row r="14" spans="1:25" s="352" customFormat="1" ht="23.25">
      <c r="A14" s="357"/>
      <c r="B14" s="358" t="s">
        <v>587</v>
      </c>
      <c r="C14" s="359">
        <f>C10+C11+C12+C13</f>
        <v>335230</v>
      </c>
      <c r="D14" s="359">
        <f aca="true" t="shared" si="0" ref="D14:V14">D10+D11+D12+D13</f>
        <v>70650</v>
      </c>
      <c r="E14" s="359">
        <f t="shared" si="0"/>
        <v>17570</v>
      </c>
      <c r="F14" s="356">
        <f t="shared" si="0"/>
        <v>0</v>
      </c>
      <c r="G14" s="359">
        <f t="shared" si="0"/>
        <v>20420</v>
      </c>
      <c r="H14" s="356">
        <f t="shared" si="0"/>
        <v>0</v>
      </c>
      <c r="I14" s="359">
        <f t="shared" si="0"/>
        <v>21150</v>
      </c>
      <c r="J14" s="359">
        <f t="shared" si="0"/>
        <v>17690</v>
      </c>
      <c r="K14" s="356">
        <f t="shared" si="0"/>
        <v>0</v>
      </c>
      <c r="L14" s="359">
        <f t="shared" si="0"/>
        <v>35020</v>
      </c>
      <c r="M14" s="356">
        <f t="shared" si="0"/>
        <v>0</v>
      </c>
      <c r="N14" s="356">
        <f t="shared" si="0"/>
        <v>0</v>
      </c>
      <c r="O14" s="356">
        <f t="shared" si="0"/>
        <v>0</v>
      </c>
      <c r="P14" s="356">
        <f t="shared" si="0"/>
        <v>0</v>
      </c>
      <c r="Q14" s="356">
        <f t="shared" si="0"/>
        <v>0</v>
      </c>
      <c r="R14" s="356">
        <f t="shared" si="0"/>
        <v>0</v>
      </c>
      <c r="S14" s="359">
        <f t="shared" si="0"/>
        <v>16240</v>
      </c>
      <c r="T14" s="356">
        <f t="shared" si="0"/>
        <v>0</v>
      </c>
      <c r="U14" s="356">
        <f t="shared" si="0"/>
        <v>0</v>
      </c>
      <c r="V14" s="356">
        <f t="shared" si="0"/>
        <v>0</v>
      </c>
      <c r="W14" s="359">
        <f>SUM(C14:V14)</f>
        <v>533970</v>
      </c>
      <c r="X14" s="357"/>
      <c r="Y14" s="358" t="s">
        <v>587</v>
      </c>
    </row>
    <row r="15" spans="1:27" s="352" customFormat="1" ht="23.25">
      <c r="A15" s="360"/>
      <c r="B15" s="361" t="s">
        <v>588</v>
      </c>
      <c r="C15" s="362">
        <f>933660+371396.13+315780+324155.81+335230</f>
        <v>2280221.94</v>
      </c>
      <c r="D15" s="362">
        <f>203105+105873.73+70900+69180+70650</f>
        <v>519708.73</v>
      </c>
      <c r="E15" s="362">
        <f>50880+32420+17570+17570+17570</f>
        <v>136010</v>
      </c>
      <c r="F15" s="362"/>
      <c r="G15" s="362">
        <f>59000+32793.87+20070+20070+20420</f>
        <v>152353.87</v>
      </c>
      <c r="H15" s="362"/>
      <c r="I15" s="362">
        <f>61340+54612.84+20800+20800+21150</f>
        <v>178702.84</v>
      </c>
      <c r="J15" s="363">
        <f>45000+30880+16240+17709+17690+20060</f>
        <v>147579</v>
      </c>
      <c r="K15" s="362"/>
      <c r="L15" s="362">
        <f>102420+55000.81+34325+34325+35020</f>
        <v>261090.81</v>
      </c>
      <c r="M15" s="362"/>
      <c r="N15" s="362"/>
      <c r="O15" s="362"/>
      <c r="P15" s="362"/>
      <c r="Q15" s="362"/>
      <c r="R15" s="362"/>
      <c r="S15" s="362">
        <f>45000+20420+15920+15920+16240</f>
        <v>113500</v>
      </c>
      <c r="T15" s="362"/>
      <c r="U15" s="362"/>
      <c r="V15" s="362"/>
      <c r="W15" s="359">
        <f>SUM(C15:V15)</f>
        <v>3789167.19</v>
      </c>
      <c r="X15" s="360"/>
      <c r="Y15" s="361" t="s">
        <v>588</v>
      </c>
      <c r="Z15" s="356">
        <v>3789167.19</v>
      </c>
      <c r="AA15" s="356">
        <f>W15-Z15</f>
        <v>0</v>
      </c>
    </row>
    <row r="16" spans="1:25" ht="23.25">
      <c r="A16" s="364" t="s">
        <v>589</v>
      </c>
      <c r="B16" s="355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X16" s="364" t="s">
        <v>589</v>
      </c>
      <c r="Y16" s="355"/>
    </row>
    <row r="17" spans="1:25" ht="23.25">
      <c r="A17" s="354"/>
      <c r="B17" s="365" t="s">
        <v>590</v>
      </c>
      <c r="C17" s="351"/>
      <c r="D17" s="351">
        <v>13070</v>
      </c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X17" s="354"/>
      <c r="Y17" s="355" t="s">
        <v>590</v>
      </c>
    </row>
    <row r="18" spans="1:25" ht="23.25">
      <c r="A18" s="354"/>
      <c r="B18" s="355" t="s">
        <v>591</v>
      </c>
      <c r="C18" s="351"/>
      <c r="D18" s="351">
        <v>1930</v>
      </c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X18" s="354"/>
      <c r="Y18" s="355" t="s">
        <v>591</v>
      </c>
    </row>
    <row r="19" spans="1:25" s="352" customFormat="1" ht="23.25">
      <c r="A19" s="357"/>
      <c r="B19" s="358" t="s">
        <v>587</v>
      </c>
      <c r="C19" s="356">
        <f>C17+C18</f>
        <v>0</v>
      </c>
      <c r="D19" s="356">
        <f aca="true" t="shared" si="1" ref="D19:V19">D17+D18</f>
        <v>15000</v>
      </c>
      <c r="E19" s="356">
        <f t="shared" si="1"/>
        <v>0</v>
      </c>
      <c r="F19" s="356">
        <f t="shared" si="1"/>
        <v>0</v>
      </c>
      <c r="G19" s="356">
        <f t="shared" si="1"/>
        <v>0</v>
      </c>
      <c r="H19" s="356">
        <f t="shared" si="1"/>
        <v>0</v>
      </c>
      <c r="I19" s="356">
        <f t="shared" si="1"/>
        <v>0</v>
      </c>
      <c r="J19" s="356">
        <f t="shared" si="1"/>
        <v>0</v>
      </c>
      <c r="K19" s="356">
        <f t="shared" si="1"/>
        <v>0</v>
      </c>
      <c r="L19" s="356">
        <f t="shared" si="1"/>
        <v>0</v>
      </c>
      <c r="M19" s="356">
        <f t="shared" si="1"/>
        <v>0</v>
      </c>
      <c r="N19" s="356">
        <f t="shared" si="1"/>
        <v>0</v>
      </c>
      <c r="O19" s="356">
        <f t="shared" si="1"/>
        <v>0</v>
      </c>
      <c r="P19" s="356">
        <f t="shared" si="1"/>
        <v>0</v>
      </c>
      <c r="Q19" s="356">
        <f t="shared" si="1"/>
        <v>0</v>
      </c>
      <c r="R19" s="356">
        <f t="shared" si="1"/>
        <v>0</v>
      </c>
      <c r="S19" s="356">
        <f t="shared" si="1"/>
        <v>0</v>
      </c>
      <c r="T19" s="356">
        <f t="shared" si="1"/>
        <v>0</v>
      </c>
      <c r="U19" s="356">
        <f t="shared" si="1"/>
        <v>0</v>
      </c>
      <c r="V19" s="356">
        <f t="shared" si="1"/>
        <v>0</v>
      </c>
      <c r="W19" s="359">
        <f>SUM(C19:V19)</f>
        <v>15000</v>
      </c>
      <c r="X19" s="357"/>
      <c r="Y19" s="358" t="s">
        <v>587</v>
      </c>
    </row>
    <row r="20" spans="1:27" s="352" customFormat="1" ht="23.25">
      <c r="A20" s="360"/>
      <c r="B20" s="361" t="s">
        <v>588</v>
      </c>
      <c r="C20" s="362"/>
      <c r="D20" s="362">
        <f>45000+15000+15000+15000+15000</f>
        <v>105000</v>
      </c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59">
        <f>SUM(C20:V20)</f>
        <v>105000</v>
      </c>
      <c r="X20" s="360"/>
      <c r="Y20" s="361" t="s">
        <v>588</v>
      </c>
      <c r="Z20" s="356">
        <v>105000</v>
      </c>
      <c r="AA20" s="356">
        <f>W20-Z20</f>
        <v>0</v>
      </c>
    </row>
    <row r="21" spans="1:25" ht="23.25">
      <c r="A21" s="364" t="s">
        <v>592</v>
      </c>
      <c r="B21" s="355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X21" s="364" t="s">
        <v>592</v>
      </c>
      <c r="Y21" s="355"/>
    </row>
    <row r="22" spans="1:25" ht="23.25">
      <c r="A22" s="354"/>
      <c r="B22" s="355" t="s">
        <v>593</v>
      </c>
      <c r="C22" s="351">
        <v>32010</v>
      </c>
      <c r="D22" s="351">
        <v>22060</v>
      </c>
      <c r="E22" s="351">
        <v>6270</v>
      </c>
      <c r="F22" s="351"/>
      <c r="G22" s="351">
        <v>24750</v>
      </c>
      <c r="H22" s="351"/>
      <c r="I22" s="351">
        <v>53140</v>
      </c>
      <c r="J22" s="351">
        <v>17060</v>
      </c>
      <c r="K22" s="351"/>
      <c r="L22" s="351">
        <v>14000</v>
      </c>
      <c r="M22" s="351"/>
      <c r="N22" s="351"/>
      <c r="O22" s="351"/>
      <c r="P22" s="351"/>
      <c r="Q22" s="351"/>
      <c r="R22" s="351"/>
      <c r="S22" s="351">
        <v>8340</v>
      </c>
      <c r="T22" s="351"/>
      <c r="U22" s="351"/>
      <c r="V22" s="351"/>
      <c r="X22" s="354"/>
      <c r="Y22" s="355" t="s">
        <v>593</v>
      </c>
    </row>
    <row r="23" spans="1:25" ht="23.25">
      <c r="A23" s="354"/>
      <c r="B23" s="355" t="s">
        <v>591</v>
      </c>
      <c r="C23" s="351">
        <v>13440</v>
      </c>
      <c r="D23" s="351">
        <v>6120</v>
      </c>
      <c r="E23" s="351">
        <v>2730</v>
      </c>
      <c r="F23" s="351"/>
      <c r="G23" s="351">
        <v>5790</v>
      </c>
      <c r="H23" s="351"/>
      <c r="I23" s="351">
        <v>28790</v>
      </c>
      <c r="J23" s="351">
        <v>3000</v>
      </c>
      <c r="K23" s="351"/>
      <c r="L23" s="351">
        <v>4450</v>
      </c>
      <c r="M23" s="351"/>
      <c r="N23" s="351"/>
      <c r="O23" s="351"/>
      <c r="P23" s="351"/>
      <c r="Q23" s="351"/>
      <c r="R23" s="351"/>
      <c r="S23" s="351">
        <v>6660</v>
      </c>
      <c r="T23" s="351"/>
      <c r="U23" s="351"/>
      <c r="V23" s="351"/>
      <c r="X23" s="354"/>
      <c r="Y23" s="355" t="s">
        <v>591</v>
      </c>
    </row>
    <row r="24" spans="1:25" s="352" customFormat="1" ht="23.25">
      <c r="A24" s="357"/>
      <c r="B24" s="358" t="s">
        <v>587</v>
      </c>
      <c r="C24" s="356">
        <f>C22+C23</f>
        <v>45450</v>
      </c>
      <c r="D24" s="356">
        <f>D22+D23</f>
        <v>28180</v>
      </c>
      <c r="E24" s="356">
        <f aca="true" t="shared" si="2" ref="E24:K24">E22+E23</f>
        <v>9000</v>
      </c>
      <c r="F24" s="356">
        <f t="shared" si="2"/>
        <v>0</v>
      </c>
      <c r="G24" s="356">
        <f t="shared" si="2"/>
        <v>30540</v>
      </c>
      <c r="H24" s="356">
        <f t="shared" si="2"/>
        <v>0</v>
      </c>
      <c r="I24" s="356">
        <f t="shared" si="2"/>
        <v>81930</v>
      </c>
      <c r="J24" s="356">
        <f t="shared" si="2"/>
        <v>20060</v>
      </c>
      <c r="K24" s="356">
        <f t="shared" si="2"/>
        <v>0</v>
      </c>
      <c r="L24" s="356">
        <f>L22+L23</f>
        <v>18450</v>
      </c>
      <c r="M24" s="356">
        <f aca="true" t="shared" si="3" ref="M24:V24">M22+M23</f>
        <v>0</v>
      </c>
      <c r="N24" s="356">
        <f t="shared" si="3"/>
        <v>0</v>
      </c>
      <c r="O24" s="356">
        <f t="shared" si="3"/>
        <v>0</v>
      </c>
      <c r="P24" s="356">
        <f t="shared" si="3"/>
        <v>0</v>
      </c>
      <c r="Q24" s="356">
        <f t="shared" si="3"/>
        <v>0</v>
      </c>
      <c r="R24" s="356">
        <f t="shared" si="3"/>
        <v>0</v>
      </c>
      <c r="S24" s="356">
        <f t="shared" si="3"/>
        <v>15000</v>
      </c>
      <c r="T24" s="356">
        <f t="shared" si="3"/>
        <v>0</v>
      </c>
      <c r="U24" s="356">
        <f t="shared" si="3"/>
        <v>0</v>
      </c>
      <c r="V24" s="356">
        <f t="shared" si="3"/>
        <v>0</v>
      </c>
      <c r="W24" s="359">
        <f>SUM(C24:V24)</f>
        <v>248610</v>
      </c>
      <c r="X24" s="357"/>
      <c r="Y24" s="358" t="s">
        <v>587</v>
      </c>
    </row>
    <row r="25" spans="1:27" s="352" customFormat="1" ht="23.25">
      <c r="A25" s="360"/>
      <c r="B25" s="361" t="s">
        <v>588</v>
      </c>
      <c r="C25" s="362">
        <f>123450+36450+45450+45450+45450</f>
        <v>296250</v>
      </c>
      <c r="D25" s="362">
        <f>84540+28180+28180+28180+28180</f>
        <v>197260</v>
      </c>
      <c r="E25" s="362">
        <f>27000+9000+9000+9000+9000</f>
        <v>63000</v>
      </c>
      <c r="F25" s="362"/>
      <c r="G25" s="362">
        <f>91620+30540+30540+30540+30540</f>
        <v>213780</v>
      </c>
      <c r="H25" s="362"/>
      <c r="I25" s="362">
        <f>245790+81930+81930+81930+81930</f>
        <v>573510</v>
      </c>
      <c r="J25" s="363">
        <f>60180+20060+20060+20060</f>
        <v>120360</v>
      </c>
      <c r="K25" s="362"/>
      <c r="L25" s="362">
        <f>55350+18450+18450+18450+18450</f>
        <v>129150</v>
      </c>
      <c r="M25" s="362"/>
      <c r="N25" s="362"/>
      <c r="O25" s="362"/>
      <c r="P25" s="362"/>
      <c r="Q25" s="362"/>
      <c r="R25" s="362"/>
      <c r="S25" s="362">
        <f>15000+15000</f>
        <v>30000</v>
      </c>
      <c r="T25" s="362"/>
      <c r="U25" s="362"/>
      <c r="V25" s="362"/>
      <c r="W25" s="359">
        <f>SUM(C25:V25)</f>
        <v>1623310</v>
      </c>
      <c r="X25" s="360"/>
      <c r="Y25" s="361" t="s">
        <v>588</v>
      </c>
      <c r="Z25" s="356">
        <v>1623310</v>
      </c>
      <c r="AA25" s="356">
        <f>W25-Z25</f>
        <v>0</v>
      </c>
    </row>
    <row r="26" spans="1:25" ht="23.25">
      <c r="A26" s="364" t="s">
        <v>594</v>
      </c>
      <c r="B26" s="355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X26" s="364" t="s">
        <v>594</v>
      </c>
      <c r="Y26" s="355"/>
    </row>
    <row r="27" spans="1:25" ht="23.25">
      <c r="A27" s="354"/>
      <c r="B27" s="355" t="s">
        <v>595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X27" s="354"/>
      <c r="Y27" s="355" t="s">
        <v>595</v>
      </c>
    </row>
    <row r="28" spans="1:25" ht="23.25">
      <c r="A28" s="354"/>
      <c r="B28" s="355" t="s">
        <v>596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X28" s="354"/>
      <c r="Y28" s="355" t="s">
        <v>596</v>
      </c>
    </row>
    <row r="29" spans="1:25" ht="23.25">
      <c r="A29" s="354"/>
      <c r="B29" s="355" t="s">
        <v>597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X29" s="354"/>
      <c r="Y29" s="355" t="s">
        <v>597</v>
      </c>
    </row>
    <row r="30" spans="1:25" ht="23.25">
      <c r="A30" s="354"/>
      <c r="B30" s="355" t="s">
        <v>598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X30" s="354"/>
      <c r="Y30" s="355" t="s">
        <v>598</v>
      </c>
    </row>
    <row r="31" spans="1:25" ht="23.25">
      <c r="A31" s="354"/>
      <c r="B31" s="355" t="s">
        <v>599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X31" s="354"/>
      <c r="Y31" s="355" t="s">
        <v>599</v>
      </c>
    </row>
    <row r="32" spans="1:25" ht="23.25">
      <c r="A32" s="354"/>
      <c r="B32" s="355" t="s">
        <v>600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X32" s="354"/>
      <c r="Y32" s="355" t="s">
        <v>600</v>
      </c>
    </row>
    <row r="33" spans="1:25" ht="23.25">
      <c r="A33" s="354"/>
      <c r="B33" s="355" t="s">
        <v>601</v>
      </c>
      <c r="C33" s="356">
        <f>3000+1451.61</f>
        <v>4451.61</v>
      </c>
      <c r="D33" s="351">
        <f>2400+3000</f>
        <v>5400</v>
      </c>
      <c r="E33" s="351"/>
      <c r="F33" s="351"/>
      <c r="G33" s="351"/>
      <c r="H33" s="351"/>
      <c r="I33" s="351">
        <v>2400</v>
      </c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X33" s="354"/>
      <c r="Y33" s="355" t="s">
        <v>601</v>
      </c>
    </row>
    <row r="34" spans="1:25" ht="23.25">
      <c r="A34" s="364"/>
      <c r="B34" s="355" t="s">
        <v>602</v>
      </c>
      <c r="C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X34" s="364"/>
      <c r="Y34" s="355" t="s">
        <v>602</v>
      </c>
    </row>
    <row r="35" spans="1:25" ht="23.25">
      <c r="A35" s="354"/>
      <c r="B35" s="355" t="s">
        <v>603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X35" s="354"/>
      <c r="Y35" s="355" t="s">
        <v>603</v>
      </c>
    </row>
    <row r="36" spans="1:25" ht="23.25">
      <c r="A36" s="354"/>
      <c r="B36" s="355" t="s">
        <v>604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X36" s="354"/>
      <c r="Y36" s="355" t="s">
        <v>604</v>
      </c>
    </row>
    <row r="37" spans="1:25" ht="23.25">
      <c r="A37" s="366"/>
      <c r="B37" s="366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X37" s="366"/>
      <c r="Y37" s="366"/>
    </row>
    <row r="38" spans="1:25" ht="23.25">
      <c r="A38" s="366"/>
      <c r="B38" s="366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X38" s="366"/>
      <c r="Y38" s="366"/>
    </row>
    <row r="39" spans="1:25" ht="23.25">
      <c r="A39" s="366"/>
      <c r="B39" s="366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X39" s="366"/>
      <c r="Y39" s="366"/>
    </row>
    <row r="40" spans="1:25" ht="23.25">
      <c r="A40" s="366"/>
      <c r="B40" s="366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X40" s="366"/>
      <c r="Y40" s="366"/>
    </row>
    <row r="41" spans="1:25" ht="23.25">
      <c r="A41" s="368"/>
      <c r="B41" s="369"/>
      <c r="C41" s="353"/>
      <c r="X41" s="368"/>
      <c r="Y41" s="369"/>
    </row>
    <row r="42" spans="1:25" s="321" customFormat="1" ht="23.25">
      <c r="A42" s="817" t="s">
        <v>536</v>
      </c>
      <c r="B42" s="818"/>
      <c r="C42" s="819" t="s">
        <v>537</v>
      </c>
      <c r="D42" s="820"/>
      <c r="E42" s="821" t="s">
        <v>538</v>
      </c>
      <c r="F42" s="822"/>
      <c r="G42" s="819" t="s">
        <v>539</v>
      </c>
      <c r="H42" s="820"/>
      <c r="I42" s="323" t="s">
        <v>540</v>
      </c>
      <c r="J42" s="819" t="s">
        <v>541</v>
      </c>
      <c r="K42" s="820"/>
      <c r="L42" s="823" t="s">
        <v>542</v>
      </c>
      <c r="M42" s="824"/>
      <c r="N42" s="824"/>
      <c r="O42" s="825"/>
      <c r="P42" s="324" t="s">
        <v>28</v>
      </c>
      <c r="Q42" s="826" t="s">
        <v>543</v>
      </c>
      <c r="R42" s="827"/>
      <c r="S42" s="828" t="s">
        <v>544</v>
      </c>
      <c r="T42" s="829"/>
      <c r="U42" s="325" t="s">
        <v>545</v>
      </c>
      <c r="V42" s="326" t="s">
        <v>546</v>
      </c>
      <c r="W42" s="322"/>
      <c r="X42" s="830" t="s">
        <v>547</v>
      </c>
      <c r="Y42" s="831"/>
    </row>
    <row r="43" spans="1:25" s="321" customFormat="1" ht="23.25">
      <c r="A43" s="327"/>
      <c r="B43" s="328"/>
      <c r="C43" s="329" t="s">
        <v>548</v>
      </c>
      <c r="D43" s="330" t="s">
        <v>549</v>
      </c>
      <c r="E43" s="331" t="s">
        <v>550</v>
      </c>
      <c r="F43" s="332" t="s">
        <v>551</v>
      </c>
      <c r="G43" s="329" t="s">
        <v>548</v>
      </c>
      <c r="H43" s="329" t="s">
        <v>552</v>
      </c>
      <c r="I43" s="331" t="s">
        <v>537</v>
      </c>
      <c r="J43" s="331" t="s">
        <v>537</v>
      </c>
      <c r="K43" s="331" t="s">
        <v>553</v>
      </c>
      <c r="L43" s="331" t="s">
        <v>537</v>
      </c>
      <c r="M43" s="333" t="s">
        <v>554</v>
      </c>
      <c r="N43" s="332" t="s">
        <v>555</v>
      </c>
      <c r="O43" s="329" t="s">
        <v>556</v>
      </c>
      <c r="P43" s="332" t="s">
        <v>557</v>
      </c>
      <c r="Q43" s="329" t="s">
        <v>558</v>
      </c>
      <c r="R43" s="329" t="s">
        <v>559</v>
      </c>
      <c r="S43" s="329" t="s">
        <v>560</v>
      </c>
      <c r="T43" s="334" t="s">
        <v>561</v>
      </c>
      <c r="U43" s="334" t="s">
        <v>562</v>
      </c>
      <c r="V43" s="335" t="s">
        <v>546</v>
      </c>
      <c r="W43" s="322"/>
      <c r="X43" s="327"/>
      <c r="Y43" s="328"/>
    </row>
    <row r="44" spans="1:25" s="321" customFormat="1" ht="21.75" customHeight="1">
      <c r="A44" s="336"/>
      <c r="B44" s="337"/>
      <c r="C44" s="338" t="s">
        <v>537</v>
      </c>
      <c r="D44" s="339" t="s">
        <v>563</v>
      </c>
      <c r="E44" s="340" t="s">
        <v>564</v>
      </c>
      <c r="F44" s="339" t="s">
        <v>565</v>
      </c>
      <c r="G44" s="341" t="s">
        <v>566</v>
      </c>
      <c r="H44" s="340" t="s">
        <v>567</v>
      </c>
      <c r="I44" s="342" t="s">
        <v>568</v>
      </c>
      <c r="J44" s="342" t="s">
        <v>541</v>
      </c>
      <c r="K44" s="339" t="s">
        <v>569</v>
      </c>
      <c r="L44" s="342" t="s">
        <v>570</v>
      </c>
      <c r="M44" s="343" t="s">
        <v>571</v>
      </c>
      <c r="N44" s="340" t="s">
        <v>572</v>
      </c>
      <c r="O44" s="341" t="s">
        <v>573</v>
      </c>
      <c r="P44" s="340" t="s">
        <v>574</v>
      </c>
      <c r="Q44" s="341" t="s">
        <v>575</v>
      </c>
      <c r="R44" s="341" t="s">
        <v>576</v>
      </c>
      <c r="S44" s="341" t="s">
        <v>544</v>
      </c>
      <c r="T44" s="344" t="s">
        <v>577</v>
      </c>
      <c r="U44" s="345" t="s">
        <v>578</v>
      </c>
      <c r="V44" s="346"/>
      <c r="W44" s="322"/>
      <c r="X44" s="336"/>
      <c r="Y44" s="337"/>
    </row>
    <row r="45" spans="1:25" s="321" customFormat="1" ht="21.75" customHeight="1">
      <c r="A45" s="813" t="s">
        <v>579</v>
      </c>
      <c r="B45" s="814"/>
      <c r="C45" s="347" t="s">
        <v>4</v>
      </c>
      <c r="D45" s="347" t="s">
        <v>5</v>
      </c>
      <c r="E45" s="347" t="s">
        <v>10</v>
      </c>
      <c r="F45" s="347" t="s">
        <v>11</v>
      </c>
      <c r="G45" s="347" t="s">
        <v>12</v>
      </c>
      <c r="H45" s="347" t="s">
        <v>13</v>
      </c>
      <c r="I45" s="347" t="s">
        <v>14</v>
      </c>
      <c r="J45" s="347" t="s">
        <v>15</v>
      </c>
      <c r="K45" s="347" t="s">
        <v>16</v>
      </c>
      <c r="L45" s="347" t="s">
        <v>17</v>
      </c>
      <c r="M45" s="348" t="s">
        <v>18</v>
      </c>
      <c r="N45" s="348" t="s">
        <v>19</v>
      </c>
      <c r="O45" s="348" t="s">
        <v>20</v>
      </c>
      <c r="P45" s="348" t="s">
        <v>21</v>
      </c>
      <c r="Q45" s="348" t="s">
        <v>22</v>
      </c>
      <c r="R45" s="348" t="s">
        <v>23</v>
      </c>
      <c r="S45" s="348" t="s">
        <v>24</v>
      </c>
      <c r="T45" s="348" t="s">
        <v>580</v>
      </c>
      <c r="U45" s="348" t="s">
        <v>581</v>
      </c>
      <c r="V45" s="347" t="s">
        <v>25</v>
      </c>
      <c r="W45" s="322"/>
      <c r="X45" s="815" t="s">
        <v>579</v>
      </c>
      <c r="Y45" s="816"/>
    </row>
    <row r="46" spans="1:25" ht="23.25">
      <c r="A46" s="354"/>
      <c r="B46" s="355" t="s">
        <v>605</v>
      </c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X46" s="354"/>
      <c r="Y46" s="355" t="s">
        <v>605</v>
      </c>
    </row>
    <row r="47" spans="1:25" s="352" customFormat="1" ht="23.25">
      <c r="A47" s="357"/>
      <c r="B47" s="358" t="s">
        <v>587</v>
      </c>
      <c r="C47" s="356">
        <f aca="true" t="shared" si="4" ref="C47:V47">C27+C28+C29+C30+C31+C32+C33+C34+C35+C36+C46</f>
        <v>4451.61</v>
      </c>
      <c r="D47" s="356">
        <f t="shared" si="4"/>
        <v>5400</v>
      </c>
      <c r="E47" s="356">
        <f t="shared" si="4"/>
        <v>0</v>
      </c>
      <c r="F47" s="356">
        <f t="shared" si="4"/>
        <v>0</v>
      </c>
      <c r="G47" s="356">
        <f t="shared" si="4"/>
        <v>0</v>
      </c>
      <c r="H47" s="356">
        <f t="shared" si="4"/>
        <v>0</v>
      </c>
      <c r="I47" s="356">
        <f t="shared" si="4"/>
        <v>2400</v>
      </c>
      <c r="J47" s="356">
        <f t="shared" si="4"/>
        <v>0</v>
      </c>
      <c r="K47" s="356">
        <f t="shared" si="4"/>
        <v>0</v>
      </c>
      <c r="L47" s="356">
        <f t="shared" si="4"/>
        <v>0</v>
      </c>
      <c r="M47" s="356">
        <f t="shared" si="4"/>
        <v>0</v>
      </c>
      <c r="N47" s="356">
        <f t="shared" si="4"/>
        <v>0</v>
      </c>
      <c r="O47" s="356">
        <f t="shared" si="4"/>
        <v>0</v>
      </c>
      <c r="P47" s="356">
        <f t="shared" si="4"/>
        <v>0</v>
      </c>
      <c r="Q47" s="356">
        <f t="shared" si="4"/>
        <v>0</v>
      </c>
      <c r="R47" s="356">
        <f t="shared" si="4"/>
        <v>0</v>
      </c>
      <c r="S47" s="356">
        <f t="shared" si="4"/>
        <v>0</v>
      </c>
      <c r="T47" s="356">
        <f t="shared" si="4"/>
        <v>0</v>
      </c>
      <c r="U47" s="356">
        <f t="shared" si="4"/>
        <v>0</v>
      </c>
      <c r="V47" s="356">
        <f t="shared" si="4"/>
        <v>0</v>
      </c>
      <c r="W47" s="359">
        <f>SUM(C47:V47)</f>
        <v>12251.61</v>
      </c>
      <c r="X47" s="357"/>
      <c r="Y47" s="358" t="s">
        <v>587</v>
      </c>
    </row>
    <row r="48" spans="1:27" s="352" customFormat="1" ht="23.25">
      <c r="A48" s="360"/>
      <c r="B48" s="361" t="s">
        <v>588</v>
      </c>
      <c r="C48" s="362">
        <f>483+9000+3000+3000+4451.61</f>
        <v>19934.61</v>
      </c>
      <c r="D48" s="362">
        <f>15960+4850+7337+5400+5400</f>
        <v>38947</v>
      </c>
      <c r="E48" s="362"/>
      <c r="F48" s="362"/>
      <c r="G48" s="362"/>
      <c r="H48" s="362"/>
      <c r="I48" s="362">
        <f>8000+2000+2000+2400+2400</f>
        <v>16800</v>
      </c>
      <c r="J48" s="362">
        <v>245</v>
      </c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59">
        <f>SUM(C48:V48)</f>
        <v>75926.61</v>
      </c>
      <c r="X48" s="360"/>
      <c r="Y48" s="361" t="s">
        <v>588</v>
      </c>
      <c r="Z48" s="356">
        <v>75926.61</v>
      </c>
      <c r="AA48" s="356">
        <f>W48-Z48</f>
        <v>0</v>
      </c>
    </row>
    <row r="49" spans="1:25" ht="23.25">
      <c r="A49" s="364" t="s">
        <v>606</v>
      </c>
      <c r="B49" s="370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X49" s="364" t="s">
        <v>606</v>
      </c>
      <c r="Y49" s="370"/>
    </row>
    <row r="50" spans="1:25" ht="23.25">
      <c r="A50" s="371"/>
      <c r="B50" s="372" t="s">
        <v>607</v>
      </c>
      <c r="C50" s="356">
        <v>5000</v>
      </c>
      <c r="D50" s="351">
        <v>5000</v>
      </c>
      <c r="E50" s="351"/>
      <c r="F50" s="356">
        <v>10000</v>
      </c>
      <c r="G50" s="351">
        <f>2600+2800</f>
        <v>5400</v>
      </c>
      <c r="H50" s="351"/>
      <c r="I50" s="351">
        <v>20000</v>
      </c>
      <c r="J50" s="351"/>
      <c r="K50" s="351"/>
      <c r="L50" s="351"/>
      <c r="M50" s="351"/>
      <c r="N50" s="351"/>
      <c r="O50" s="351"/>
      <c r="P50" s="351">
        <v>0</v>
      </c>
      <c r="Q50" s="351"/>
      <c r="R50" s="351"/>
      <c r="S50" s="351">
        <v>5000</v>
      </c>
      <c r="T50" s="351"/>
      <c r="U50" s="351"/>
      <c r="V50" s="351"/>
      <c r="X50" s="371"/>
      <c r="Y50" s="372" t="s">
        <v>607</v>
      </c>
    </row>
    <row r="51" spans="1:25" ht="23.25">
      <c r="A51" s="373"/>
      <c r="B51" s="372" t="s">
        <v>608</v>
      </c>
      <c r="C51" s="356"/>
      <c r="D51" s="351"/>
      <c r="E51" s="351"/>
      <c r="F51" s="351"/>
      <c r="G51" s="351"/>
      <c r="H51" s="351"/>
      <c r="I51" s="351">
        <v>18460</v>
      </c>
      <c r="J51" s="351"/>
      <c r="K51" s="351"/>
      <c r="L51" s="356">
        <v>12810</v>
      </c>
      <c r="M51" s="351"/>
      <c r="N51" s="351"/>
      <c r="O51" s="351"/>
      <c r="P51" s="351"/>
      <c r="Q51" s="351"/>
      <c r="R51" s="351"/>
      <c r="S51" s="351"/>
      <c r="T51" s="351"/>
      <c r="U51" s="351">
        <v>0</v>
      </c>
      <c r="V51" s="351"/>
      <c r="X51" s="373"/>
      <c r="Y51" s="372" t="s">
        <v>608</v>
      </c>
    </row>
    <row r="52" spans="1:25" ht="23.25">
      <c r="A52" s="373"/>
      <c r="B52" s="372" t="s">
        <v>609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X52" s="373"/>
      <c r="Y52" s="372" t="s">
        <v>609</v>
      </c>
    </row>
    <row r="53" spans="1:25" ht="23.25">
      <c r="A53" s="373"/>
      <c r="B53" s="374" t="s">
        <v>610</v>
      </c>
      <c r="C53" s="351">
        <f>5000</f>
        <v>5000</v>
      </c>
      <c r="D53" s="351"/>
      <c r="E53" s="351"/>
      <c r="F53" s="351">
        <v>33600</v>
      </c>
      <c r="G53" s="351">
        <f>3076+5950+5960+1650+3076</f>
        <v>19712</v>
      </c>
      <c r="H53" s="351"/>
      <c r="I53" s="351"/>
      <c r="J53" s="351"/>
      <c r="K53" s="351"/>
      <c r="L53" s="351"/>
      <c r="M53" s="351"/>
      <c r="N53" s="351"/>
      <c r="O53" s="351"/>
      <c r="P53" s="351">
        <f>88000+1490+21000+15000</f>
        <v>125490</v>
      </c>
      <c r="Q53" s="351">
        <f>52500+195700</f>
        <v>248200</v>
      </c>
      <c r="R53" s="351">
        <v>-180</v>
      </c>
      <c r="S53" s="351"/>
      <c r="T53" s="351"/>
      <c r="U53" s="351"/>
      <c r="V53" s="351"/>
      <c r="X53" s="373"/>
      <c r="Y53" s="374" t="s">
        <v>610</v>
      </c>
    </row>
    <row r="54" spans="1:25" ht="23.25">
      <c r="A54" s="373"/>
      <c r="B54" s="374" t="s">
        <v>611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X54" s="373"/>
      <c r="Y54" s="374" t="s">
        <v>611</v>
      </c>
    </row>
    <row r="55" spans="1:25" ht="23.25">
      <c r="A55" s="373"/>
      <c r="B55" s="375" t="s">
        <v>612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X55" s="373"/>
      <c r="Y55" s="375" t="s">
        <v>612</v>
      </c>
    </row>
    <row r="56" spans="1:25" s="352" customFormat="1" ht="23.25">
      <c r="A56" s="357"/>
      <c r="B56" s="358" t="s">
        <v>587</v>
      </c>
      <c r="C56" s="356">
        <f>SUM(C50:C55)</f>
        <v>10000</v>
      </c>
      <c r="D56" s="356">
        <f aca="true" t="shared" si="5" ref="D56:V56">SUM(D50:D55)</f>
        <v>5000</v>
      </c>
      <c r="E56" s="356">
        <f t="shared" si="5"/>
        <v>0</v>
      </c>
      <c r="F56" s="356">
        <f t="shared" si="5"/>
        <v>43600</v>
      </c>
      <c r="G56" s="356">
        <f t="shared" si="5"/>
        <v>25112</v>
      </c>
      <c r="H56" s="356">
        <f t="shared" si="5"/>
        <v>0</v>
      </c>
      <c r="I56" s="356">
        <f t="shared" si="5"/>
        <v>38460</v>
      </c>
      <c r="J56" s="356">
        <f t="shared" si="5"/>
        <v>0</v>
      </c>
      <c r="K56" s="356">
        <f t="shared" si="5"/>
        <v>0</v>
      </c>
      <c r="L56" s="356">
        <f t="shared" si="5"/>
        <v>12810</v>
      </c>
      <c r="M56" s="356">
        <f t="shared" si="5"/>
        <v>0</v>
      </c>
      <c r="N56" s="356">
        <f t="shared" si="5"/>
        <v>0</v>
      </c>
      <c r="O56" s="356">
        <f t="shared" si="5"/>
        <v>0</v>
      </c>
      <c r="P56" s="356">
        <f t="shared" si="5"/>
        <v>125490</v>
      </c>
      <c r="Q56" s="356">
        <f t="shared" si="5"/>
        <v>248200</v>
      </c>
      <c r="R56" s="356">
        <f t="shared" si="5"/>
        <v>-180</v>
      </c>
      <c r="S56" s="356">
        <f t="shared" si="5"/>
        <v>5000</v>
      </c>
      <c r="T56" s="356">
        <f t="shared" si="5"/>
        <v>0</v>
      </c>
      <c r="U56" s="356">
        <f t="shared" si="5"/>
        <v>0</v>
      </c>
      <c r="V56" s="356">
        <f t="shared" si="5"/>
        <v>0</v>
      </c>
      <c r="W56" s="359">
        <f>SUM(C56:V56)</f>
        <v>513492</v>
      </c>
      <c r="X56" s="357"/>
      <c r="Y56" s="358" t="s">
        <v>587</v>
      </c>
    </row>
    <row r="57" spans="1:27" s="352" customFormat="1" ht="23.25">
      <c r="A57" s="360"/>
      <c r="B57" s="361" t="s">
        <v>588</v>
      </c>
      <c r="C57" s="362">
        <f>349779.3+10000</f>
        <v>359779.3</v>
      </c>
      <c r="D57" s="362">
        <f>8000+620+5000+5000</f>
        <v>18620</v>
      </c>
      <c r="E57" s="362"/>
      <c r="F57" s="362">
        <f>20000+10000+26103+19142.84+43600</f>
        <v>118845.84</v>
      </c>
      <c r="G57" s="362">
        <f>34520+11520+14640+119500+25112</f>
        <v>205292</v>
      </c>
      <c r="H57" s="362">
        <f>465000+470400</f>
        <v>935400</v>
      </c>
      <c r="I57" s="362">
        <f>10500+2900+37532+38460</f>
        <v>89392</v>
      </c>
      <c r="J57" s="362">
        <f>10851+8160</f>
        <v>19011</v>
      </c>
      <c r="K57" s="362">
        <f>46800+510</f>
        <v>47310</v>
      </c>
      <c r="L57" s="362">
        <f>3352+19554.87+12810</f>
        <v>35716.869999999995</v>
      </c>
      <c r="M57" s="362"/>
      <c r="N57" s="362"/>
      <c r="O57" s="362"/>
      <c r="P57" s="362">
        <f>24960+125490</f>
        <v>150450</v>
      </c>
      <c r="Q57" s="362">
        <f>62945+93902+169927+248200</f>
        <v>574974</v>
      </c>
      <c r="R57" s="362">
        <f>169960-180</f>
        <v>169780</v>
      </c>
      <c r="S57" s="362">
        <f>15730+4200+12920+5000</f>
        <v>37850</v>
      </c>
      <c r="T57" s="362"/>
      <c r="U57" s="362">
        <v>44940</v>
      </c>
      <c r="V57" s="362"/>
      <c r="W57" s="359">
        <f>SUM(C57:V57)</f>
        <v>2807361.0100000002</v>
      </c>
      <c r="X57" s="360"/>
      <c r="Y57" s="361" t="s">
        <v>588</v>
      </c>
      <c r="Z57" s="356">
        <v>2807361.01</v>
      </c>
      <c r="AA57" s="356">
        <f>W57-Z57</f>
        <v>0</v>
      </c>
    </row>
    <row r="58" spans="1:25" ht="23.25">
      <c r="A58" s="364" t="s">
        <v>613</v>
      </c>
      <c r="B58" s="370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X58" s="364" t="s">
        <v>613</v>
      </c>
      <c r="Y58" s="370"/>
    </row>
    <row r="59" spans="1:25" ht="23.25">
      <c r="A59" s="354"/>
      <c r="B59" s="376" t="s">
        <v>614</v>
      </c>
      <c r="C59" s="351">
        <v>1080</v>
      </c>
      <c r="D59" s="356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X59" s="354"/>
      <c r="Y59" s="376" t="s">
        <v>614</v>
      </c>
    </row>
    <row r="60" spans="1:25" ht="23.25">
      <c r="A60" s="354"/>
      <c r="B60" s="376" t="s">
        <v>615</v>
      </c>
      <c r="C60" s="351">
        <v>7320</v>
      </c>
      <c r="D60" s="351"/>
      <c r="E60" s="351"/>
      <c r="F60" s="351"/>
      <c r="G60" s="351"/>
      <c r="H60" s="351"/>
      <c r="I60" s="351"/>
      <c r="J60" s="351"/>
      <c r="K60" s="351"/>
      <c r="L60" s="351">
        <f>3185+58705</f>
        <v>61890</v>
      </c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X60" s="354"/>
      <c r="Y60" s="376" t="s">
        <v>615</v>
      </c>
    </row>
    <row r="61" spans="1:25" ht="23.25">
      <c r="A61" s="354"/>
      <c r="B61" s="376" t="s">
        <v>616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X61" s="354"/>
      <c r="Y61" s="376" t="s">
        <v>616</v>
      </c>
    </row>
    <row r="62" spans="1:25" ht="23.25">
      <c r="A62" s="354"/>
      <c r="B62" s="376" t="s">
        <v>617</v>
      </c>
      <c r="C62" s="351">
        <v>5895</v>
      </c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X62" s="354"/>
      <c r="Y62" s="376" t="s">
        <v>617</v>
      </c>
    </row>
    <row r="63" spans="1:25" ht="23.25">
      <c r="A63" s="354"/>
      <c r="B63" s="376" t="s">
        <v>618</v>
      </c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X63" s="354"/>
      <c r="Y63" s="376" t="s">
        <v>618</v>
      </c>
    </row>
    <row r="64" spans="1:25" ht="23.25">
      <c r="A64" s="354"/>
      <c r="B64" s="376" t="s">
        <v>619</v>
      </c>
      <c r="C64" s="351">
        <f>18700+5000</f>
        <v>23700</v>
      </c>
      <c r="D64" s="351"/>
      <c r="E64" s="351"/>
      <c r="F64" s="351"/>
      <c r="G64" s="351"/>
      <c r="H64" s="351"/>
      <c r="I64" s="351">
        <v>14500</v>
      </c>
      <c r="J64" s="351"/>
      <c r="K64" s="351"/>
      <c r="L64" s="351">
        <v>8200</v>
      </c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X64" s="354"/>
      <c r="Y64" s="376" t="s">
        <v>619</v>
      </c>
    </row>
    <row r="65" spans="1:25" ht="23.25">
      <c r="A65" s="354"/>
      <c r="B65" s="376" t="s">
        <v>620</v>
      </c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X65" s="354"/>
      <c r="Y65" s="376" t="s">
        <v>620</v>
      </c>
    </row>
    <row r="66" spans="1:25" ht="23.25">
      <c r="A66" s="354"/>
      <c r="B66" s="376" t="s">
        <v>621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X66" s="354"/>
      <c r="Y66" s="376" t="s">
        <v>621</v>
      </c>
    </row>
    <row r="67" spans="1:25" ht="23.25">
      <c r="A67" s="354"/>
      <c r="B67" s="376" t="s">
        <v>622</v>
      </c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X67" s="354"/>
      <c r="Y67" s="376" t="s">
        <v>622</v>
      </c>
    </row>
    <row r="68" spans="1:25" ht="23.25">
      <c r="A68" s="354"/>
      <c r="B68" s="376" t="s">
        <v>623</v>
      </c>
      <c r="C68" s="351"/>
      <c r="D68" s="351"/>
      <c r="E68" s="351"/>
      <c r="F68" s="351"/>
      <c r="G68" s="351"/>
      <c r="H68" s="351"/>
      <c r="I68" s="351">
        <v>29920</v>
      </c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X68" s="354"/>
      <c r="Y68" s="376" t="s">
        <v>623</v>
      </c>
    </row>
    <row r="69" spans="1:25" ht="23.25">
      <c r="A69" s="354"/>
      <c r="B69" s="376" t="s">
        <v>624</v>
      </c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X69" s="354"/>
      <c r="Y69" s="376" t="s">
        <v>624</v>
      </c>
    </row>
    <row r="70" spans="1:25" ht="23.25">
      <c r="A70" s="354"/>
      <c r="B70" s="376" t="s">
        <v>625</v>
      </c>
      <c r="C70" s="351"/>
      <c r="D70" s="351"/>
      <c r="E70" s="351"/>
      <c r="F70" s="351"/>
      <c r="G70" s="351"/>
      <c r="H70" s="351"/>
      <c r="I70" s="351">
        <v>2500</v>
      </c>
      <c r="J70" s="351"/>
      <c r="K70" s="351"/>
      <c r="L70" s="351">
        <v>8150</v>
      </c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X70" s="354"/>
      <c r="Y70" s="376" t="s">
        <v>625</v>
      </c>
    </row>
    <row r="71" spans="1:25" ht="23.25">
      <c r="A71" s="354"/>
      <c r="B71" s="376" t="s">
        <v>626</v>
      </c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X71" s="354"/>
      <c r="Y71" s="376" t="s">
        <v>626</v>
      </c>
    </row>
    <row r="72" spans="1:25" ht="23.25">
      <c r="A72" s="364"/>
      <c r="B72" s="355" t="s">
        <v>627</v>
      </c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X72" s="364"/>
      <c r="Y72" s="355" t="s">
        <v>627</v>
      </c>
    </row>
    <row r="73" spans="1:25" ht="23.25">
      <c r="A73" s="354"/>
      <c r="B73" s="355" t="s">
        <v>628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X73" s="354"/>
      <c r="Y73" s="355" t="s">
        <v>628</v>
      </c>
    </row>
    <row r="74" spans="1:25" ht="23.25">
      <c r="A74" s="354"/>
      <c r="B74" s="355" t="s">
        <v>629</v>
      </c>
      <c r="C74" s="351"/>
      <c r="D74" s="351"/>
      <c r="E74" s="351"/>
      <c r="F74" s="351"/>
      <c r="G74" s="351"/>
      <c r="H74" s="356">
        <f>381299.05+123662.5</f>
        <v>504961.55</v>
      </c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X74" s="354"/>
      <c r="Y74" s="355" t="s">
        <v>629</v>
      </c>
    </row>
    <row r="75" spans="1:25" s="352" customFormat="1" ht="23.25">
      <c r="A75" s="357"/>
      <c r="B75" s="358" t="s">
        <v>587</v>
      </c>
      <c r="C75" s="356">
        <f>SUM(C59:C74)</f>
        <v>37995</v>
      </c>
      <c r="D75" s="356">
        <f aca="true" t="shared" si="6" ref="D75:V75">SUM(D59:D74)</f>
        <v>0</v>
      </c>
      <c r="E75" s="356">
        <f t="shared" si="6"/>
        <v>0</v>
      </c>
      <c r="F75" s="356">
        <f t="shared" si="6"/>
        <v>0</v>
      </c>
      <c r="G75" s="356">
        <f t="shared" si="6"/>
        <v>0</v>
      </c>
      <c r="H75" s="356">
        <f t="shared" si="6"/>
        <v>504961.55</v>
      </c>
      <c r="I75" s="356">
        <f t="shared" si="6"/>
        <v>46920</v>
      </c>
      <c r="J75" s="356">
        <f t="shared" si="6"/>
        <v>0</v>
      </c>
      <c r="K75" s="356">
        <f t="shared" si="6"/>
        <v>0</v>
      </c>
      <c r="L75" s="356">
        <f t="shared" si="6"/>
        <v>78240</v>
      </c>
      <c r="M75" s="356">
        <f t="shared" si="6"/>
        <v>0</v>
      </c>
      <c r="N75" s="356">
        <f t="shared" si="6"/>
        <v>0</v>
      </c>
      <c r="O75" s="356">
        <f t="shared" si="6"/>
        <v>0</v>
      </c>
      <c r="P75" s="356">
        <f t="shared" si="6"/>
        <v>0</v>
      </c>
      <c r="Q75" s="356">
        <f t="shared" si="6"/>
        <v>0</v>
      </c>
      <c r="R75" s="356">
        <f t="shared" si="6"/>
        <v>0</v>
      </c>
      <c r="S75" s="356">
        <f t="shared" si="6"/>
        <v>0</v>
      </c>
      <c r="T75" s="356">
        <f t="shared" si="6"/>
        <v>0</v>
      </c>
      <c r="U75" s="356">
        <f t="shared" si="6"/>
        <v>0</v>
      </c>
      <c r="V75" s="356">
        <f t="shared" si="6"/>
        <v>0</v>
      </c>
      <c r="W75" s="359">
        <f>SUM(C75:V75)</f>
        <v>668116.55</v>
      </c>
      <c r="X75" s="357"/>
      <c r="Y75" s="358" t="s">
        <v>587</v>
      </c>
    </row>
    <row r="76" spans="1:27" s="352" customFormat="1" ht="23.25">
      <c r="A76" s="360"/>
      <c r="B76" s="361" t="s">
        <v>588</v>
      </c>
      <c r="C76" s="362">
        <f>63860+13400+18835+44810+37995</f>
        <v>178900</v>
      </c>
      <c r="D76" s="362">
        <f>5100+43057.05</f>
        <v>48157.05</v>
      </c>
      <c r="E76" s="362">
        <v>98770</v>
      </c>
      <c r="F76" s="362"/>
      <c r="G76" s="362">
        <f>16300</f>
        <v>16300</v>
      </c>
      <c r="H76" s="362">
        <f>185539.41+186003.62+211580.83+176704.2+504961.55</f>
        <v>1264789.61</v>
      </c>
      <c r="I76" s="362">
        <f>12700+8100+12000+11600+46920</f>
        <v>91320</v>
      </c>
      <c r="J76" s="362"/>
      <c r="K76" s="362"/>
      <c r="L76" s="362">
        <f>40170+8000+14550+104860+78240</f>
        <v>245820</v>
      </c>
      <c r="M76" s="362"/>
      <c r="N76" s="362"/>
      <c r="O76" s="362"/>
      <c r="P76" s="362"/>
      <c r="Q76" s="362"/>
      <c r="R76" s="362"/>
      <c r="S76" s="362">
        <v>2550</v>
      </c>
      <c r="T76" s="362"/>
      <c r="U76" s="362"/>
      <c r="V76" s="362"/>
      <c r="W76" s="359">
        <f>SUM(C76:V76)</f>
        <v>1946606.6600000001</v>
      </c>
      <c r="X76" s="360"/>
      <c r="Y76" s="361" t="s">
        <v>588</v>
      </c>
      <c r="Z76" s="356">
        <v>1946606.66</v>
      </c>
      <c r="AA76" s="356">
        <f>W76-Z76</f>
        <v>0</v>
      </c>
    </row>
    <row r="77" spans="1:25" ht="23.25">
      <c r="A77" s="366"/>
      <c r="B77" s="37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X77" s="366"/>
      <c r="Y77" s="377"/>
    </row>
    <row r="78" spans="1:25" ht="23.25">
      <c r="A78" s="378"/>
      <c r="B78" s="379"/>
      <c r="C78" s="353"/>
      <c r="X78" s="378"/>
      <c r="Y78" s="379"/>
    </row>
    <row r="79" spans="1:25" ht="23.25">
      <c r="A79" s="378"/>
      <c r="B79" s="379"/>
      <c r="C79" s="353"/>
      <c r="X79" s="378"/>
      <c r="Y79" s="379"/>
    </row>
    <row r="80" spans="1:25" s="321" customFormat="1" ht="23.25">
      <c r="A80" s="817" t="s">
        <v>536</v>
      </c>
      <c r="B80" s="818"/>
      <c r="C80" s="819" t="s">
        <v>537</v>
      </c>
      <c r="D80" s="820"/>
      <c r="E80" s="821" t="s">
        <v>538</v>
      </c>
      <c r="F80" s="822"/>
      <c r="G80" s="819" t="s">
        <v>539</v>
      </c>
      <c r="H80" s="820"/>
      <c r="I80" s="323" t="s">
        <v>540</v>
      </c>
      <c r="J80" s="819" t="s">
        <v>541</v>
      </c>
      <c r="K80" s="820"/>
      <c r="L80" s="823" t="s">
        <v>542</v>
      </c>
      <c r="M80" s="824"/>
      <c r="N80" s="824"/>
      <c r="O80" s="825"/>
      <c r="P80" s="324" t="s">
        <v>28</v>
      </c>
      <c r="Q80" s="826" t="s">
        <v>543</v>
      </c>
      <c r="R80" s="827"/>
      <c r="S80" s="828" t="s">
        <v>544</v>
      </c>
      <c r="T80" s="829"/>
      <c r="U80" s="325" t="s">
        <v>545</v>
      </c>
      <c r="V80" s="326" t="s">
        <v>546</v>
      </c>
      <c r="W80" s="322"/>
      <c r="X80" s="830" t="s">
        <v>547</v>
      </c>
      <c r="Y80" s="831"/>
    </row>
    <row r="81" spans="1:25" s="321" customFormat="1" ht="23.25">
      <c r="A81" s="327"/>
      <c r="B81" s="328"/>
      <c r="C81" s="329" t="s">
        <v>548</v>
      </c>
      <c r="D81" s="330" t="s">
        <v>549</v>
      </c>
      <c r="E81" s="331" t="s">
        <v>550</v>
      </c>
      <c r="F81" s="332" t="s">
        <v>551</v>
      </c>
      <c r="G81" s="329" t="s">
        <v>548</v>
      </c>
      <c r="H81" s="329" t="s">
        <v>552</v>
      </c>
      <c r="I81" s="331" t="s">
        <v>537</v>
      </c>
      <c r="J81" s="331" t="s">
        <v>537</v>
      </c>
      <c r="K81" s="331" t="s">
        <v>553</v>
      </c>
      <c r="L81" s="331" t="s">
        <v>537</v>
      </c>
      <c r="M81" s="333" t="s">
        <v>554</v>
      </c>
      <c r="N81" s="332" t="s">
        <v>555</v>
      </c>
      <c r="O81" s="329" t="s">
        <v>556</v>
      </c>
      <c r="P81" s="332" t="s">
        <v>557</v>
      </c>
      <c r="Q81" s="329" t="s">
        <v>558</v>
      </c>
      <c r="R81" s="329" t="s">
        <v>559</v>
      </c>
      <c r="S81" s="329" t="s">
        <v>560</v>
      </c>
      <c r="T81" s="334" t="s">
        <v>561</v>
      </c>
      <c r="U81" s="334" t="s">
        <v>562</v>
      </c>
      <c r="V81" s="335" t="s">
        <v>546</v>
      </c>
      <c r="W81" s="322"/>
      <c r="X81" s="327"/>
      <c r="Y81" s="328"/>
    </row>
    <row r="82" spans="1:25" s="321" customFormat="1" ht="21.75" customHeight="1">
      <c r="A82" s="336"/>
      <c r="B82" s="337"/>
      <c r="C82" s="338" t="s">
        <v>537</v>
      </c>
      <c r="D82" s="339" t="s">
        <v>563</v>
      </c>
      <c r="E82" s="340" t="s">
        <v>564</v>
      </c>
      <c r="F82" s="339" t="s">
        <v>565</v>
      </c>
      <c r="G82" s="341" t="s">
        <v>566</v>
      </c>
      <c r="H82" s="340" t="s">
        <v>567</v>
      </c>
      <c r="I82" s="342" t="s">
        <v>568</v>
      </c>
      <c r="J82" s="342" t="s">
        <v>541</v>
      </c>
      <c r="K82" s="339" t="s">
        <v>569</v>
      </c>
      <c r="L82" s="342" t="s">
        <v>570</v>
      </c>
      <c r="M82" s="343" t="s">
        <v>571</v>
      </c>
      <c r="N82" s="340" t="s">
        <v>572</v>
      </c>
      <c r="O82" s="341" t="s">
        <v>573</v>
      </c>
      <c r="P82" s="340" t="s">
        <v>574</v>
      </c>
      <c r="Q82" s="341" t="s">
        <v>575</v>
      </c>
      <c r="R82" s="341" t="s">
        <v>576</v>
      </c>
      <c r="S82" s="341" t="s">
        <v>544</v>
      </c>
      <c r="T82" s="344" t="s">
        <v>577</v>
      </c>
      <c r="U82" s="345" t="s">
        <v>578</v>
      </c>
      <c r="V82" s="346"/>
      <c r="W82" s="322"/>
      <c r="X82" s="336"/>
      <c r="Y82" s="337"/>
    </row>
    <row r="83" spans="1:25" s="321" customFormat="1" ht="21.75" customHeight="1">
      <c r="A83" s="813" t="s">
        <v>579</v>
      </c>
      <c r="B83" s="814"/>
      <c r="C83" s="347" t="s">
        <v>4</v>
      </c>
      <c r="D83" s="347" t="s">
        <v>5</v>
      </c>
      <c r="E83" s="347" t="s">
        <v>10</v>
      </c>
      <c r="F83" s="347" t="s">
        <v>11</v>
      </c>
      <c r="G83" s="347" t="s">
        <v>12</v>
      </c>
      <c r="H83" s="347" t="s">
        <v>13</v>
      </c>
      <c r="I83" s="347" t="s">
        <v>14</v>
      </c>
      <c r="J83" s="347" t="s">
        <v>15</v>
      </c>
      <c r="K83" s="347" t="s">
        <v>16</v>
      </c>
      <c r="L83" s="347" t="s">
        <v>17</v>
      </c>
      <c r="M83" s="348" t="s">
        <v>18</v>
      </c>
      <c r="N83" s="348" t="s">
        <v>19</v>
      </c>
      <c r="O83" s="348" t="s">
        <v>20</v>
      </c>
      <c r="P83" s="348" t="s">
        <v>21</v>
      </c>
      <c r="Q83" s="348" t="s">
        <v>22</v>
      </c>
      <c r="R83" s="348" t="s">
        <v>23</v>
      </c>
      <c r="S83" s="348" t="s">
        <v>24</v>
      </c>
      <c r="T83" s="348" t="s">
        <v>580</v>
      </c>
      <c r="U83" s="348" t="s">
        <v>581</v>
      </c>
      <c r="V83" s="347" t="s">
        <v>25</v>
      </c>
      <c r="W83" s="322"/>
      <c r="X83" s="815" t="s">
        <v>579</v>
      </c>
      <c r="Y83" s="816"/>
    </row>
    <row r="84" spans="1:25" ht="23.25">
      <c r="A84" s="364" t="s">
        <v>630</v>
      </c>
      <c r="B84" s="370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X84" s="364" t="s">
        <v>630</v>
      </c>
      <c r="Y84" s="370"/>
    </row>
    <row r="85" spans="1:25" ht="23.25">
      <c r="A85" s="364"/>
      <c r="B85" s="376" t="s">
        <v>631</v>
      </c>
      <c r="C85" s="380">
        <v>23707.87</v>
      </c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X85" s="364"/>
      <c r="Y85" s="376" t="s">
        <v>631</v>
      </c>
    </row>
    <row r="86" spans="1:25" ht="23.25">
      <c r="A86" s="364"/>
      <c r="B86" s="376" t="s">
        <v>632</v>
      </c>
      <c r="C86" s="351">
        <v>1490</v>
      </c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X86" s="364"/>
      <c r="Y86" s="376" t="s">
        <v>632</v>
      </c>
    </row>
    <row r="87" spans="1:25" ht="23.25">
      <c r="A87" s="354"/>
      <c r="B87" s="376" t="s">
        <v>633</v>
      </c>
      <c r="C87" s="381">
        <v>2399.48</v>
      </c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X87" s="354"/>
      <c r="Y87" s="376" t="s">
        <v>633</v>
      </c>
    </row>
    <row r="88" spans="1:25" ht="23.25">
      <c r="A88" s="354"/>
      <c r="B88" s="376" t="s">
        <v>634</v>
      </c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X88" s="354"/>
      <c r="Y88" s="376" t="s">
        <v>634</v>
      </c>
    </row>
    <row r="89" spans="1:25" ht="23.25">
      <c r="A89" s="354"/>
      <c r="B89" s="376" t="s">
        <v>635</v>
      </c>
      <c r="C89" s="356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X89" s="354"/>
      <c r="Y89" s="376" t="s">
        <v>635</v>
      </c>
    </row>
    <row r="90" spans="1:25" s="352" customFormat="1" ht="23.25">
      <c r="A90" s="357"/>
      <c r="B90" s="358" t="s">
        <v>587</v>
      </c>
      <c r="C90" s="356">
        <f>SUM(C85:C89)</f>
        <v>27597.35</v>
      </c>
      <c r="D90" s="356">
        <f aca="true" t="shared" si="7" ref="D90:V90">SUM(D85:D89)</f>
        <v>0</v>
      </c>
      <c r="E90" s="356">
        <f t="shared" si="7"/>
        <v>0</v>
      </c>
      <c r="F90" s="356">
        <f t="shared" si="7"/>
        <v>0</v>
      </c>
      <c r="G90" s="356">
        <f t="shared" si="7"/>
        <v>0</v>
      </c>
      <c r="H90" s="356">
        <f t="shared" si="7"/>
        <v>0</v>
      </c>
      <c r="I90" s="356">
        <f t="shared" si="7"/>
        <v>0</v>
      </c>
      <c r="J90" s="356">
        <f t="shared" si="7"/>
        <v>0</v>
      </c>
      <c r="K90" s="356">
        <f t="shared" si="7"/>
        <v>0</v>
      </c>
      <c r="L90" s="356">
        <f t="shared" si="7"/>
        <v>0</v>
      </c>
      <c r="M90" s="356">
        <f t="shared" si="7"/>
        <v>0</v>
      </c>
      <c r="N90" s="356">
        <f t="shared" si="7"/>
        <v>0</v>
      </c>
      <c r="O90" s="356">
        <f t="shared" si="7"/>
        <v>0</v>
      </c>
      <c r="P90" s="356">
        <f t="shared" si="7"/>
        <v>0</v>
      </c>
      <c r="Q90" s="356">
        <f t="shared" si="7"/>
        <v>0</v>
      </c>
      <c r="R90" s="356">
        <f t="shared" si="7"/>
        <v>0</v>
      </c>
      <c r="S90" s="356">
        <f t="shared" si="7"/>
        <v>0</v>
      </c>
      <c r="T90" s="356">
        <f t="shared" si="7"/>
        <v>0</v>
      </c>
      <c r="U90" s="356">
        <f t="shared" si="7"/>
        <v>0</v>
      </c>
      <c r="V90" s="356">
        <f t="shared" si="7"/>
        <v>0</v>
      </c>
      <c r="W90" s="359">
        <f>SUM(C90:V90)</f>
        <v>27597.35</v>
      </c>
      <c r="X90" s="357"/>
      <c r="Y90" s="358" t="s">
        <v>587</v>
      </c>
    </row>
    <row r="91" spans="1:27" s="352" customFormat="1" ht="23.25">
      <c r="A91" s="360"/>
      <c r="B91" s="361" t="s">
        <v>588</v>
      </c>
      <c r="C91" s="362">
        <f>44812.74+34937.37+18025.39+18011.96+27597.35</f>
        <v>143384.81</v>
      </c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59">
        <f>SUM(C91:V91)</f>
        <v>143384.81</v>
      </c>
      <c r="X91" s="360"/>
      <c r="Y91" s="361" t="s">
        <v>588</v>
      </c>
      <c r="Z91" s="356">
        <v>143384.81</v>
      </c>
      <c r="AA91" s="356">
        <f>W91-Z91</f>
        <v>0</v>
      </c>
    </row>
    <row r="92" spans="1:25" ht="23.25">
      <c r="A92" s="364" t="s">
        <v>636</v>
      </c>
      <c r="B92" s="376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X92" s="364" t="s">
        <v>636</v>
      </c>
      <c r="Y92" s="376"/>
    </row>
    <row r="93" spans="1:25" ht="23.25">
      <c r="A93" s="354"/>
      <c r="B93" s="376" t="s">
        <v>637</v>
      </c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X93" s="354"/>
      <c r="Y93" s="376" t="s">
        <v>637</v>
      </c>
    </row>
    <row r="94" spans="1:25" ht="23.25">
      <c r="A94" s="364"/>
      <c r="B94" s="376" t="s">
        <v>638</v>
      </c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X94" s="364"/>
      <c r="Y94" s="376" t="s">
        <v>638</v>
      </c>
    </row>
    <row r="95" spans="1:25" ht="23.25">
      <c r="A95" s="364"/>
      <c r="B95" s="376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X95" s="364"/>
      <c r="Y95" s="376"/>
    </row>
    <row r="96" spans="1:25" ht="23.25">
      <c r="A96" s="364"/>
      <c r="B96" s="376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X96" s="364"/>
      <c r="Y96" s="376"/>
    </row>
    <row r="97" spans="1:25" s="352" customFormat="1" ht="23.25">
      <c r="A97" s="357"/>
      <c r="B97" s="358" t="s">
        <v>587</v>
      </c>
      <c r="C97" s="356">
        <f>SUM(C93:C96)</f>
        <v>0</v>
      </c>
      <c r="D97" s="356">
        <f aca="true" t="shared" si="8" ref="D97:V97">SUM(D93:D96)</f>
        <v>0</v>
      </c>
      <c r="E97" s="356">
        <f t="shared" si="8"/>
        <v>0</v>
      </c>
      <c r="F97" s="356">
        <f t="shared" si="8"/>
        <v>0</v>
      </c>
      <c r="G97" s="356">
        <f t="shared" si="8"/>
        <v>0</v>
      </c>
      <c r="H97" s="356">
        <f t="shared" si="8"/>
        <v>0</v>
      </c>
      <c r="I97" s="356">
        <f t="shared" si="8"/>
        <v>0</v>
      </c>
      <c r="J97" s="356">
        <f t="shared" si="8"/>
        <v>0</v>
      </c>
      <c r="K97" s="356">
        <f t="shared" si="8"/>
        <v>0</v>
      </c>
      <c r="L97" s="356">
        <f t="shared" si="8"/>
        <v>0</v>
      </c>
      <c r="M97" s="356">
        <f t="shared" si="8"/>
        <v>0</v>
      </c>
      <c r="N97" s="356">
        <f t="shared" si="8"/>
        <v>0</v>
      </c>
      <c r="O97" s="356">
        <f t="shared" si="8"/>
        <v>0</v>
      </c>
      <c r="P97" s="356">
        <f t="shared" si="8"/>
        <v>0</v>
      </c>
      <c r="Q97" s="356">
        <f t="shared" si="8"/>
        <v>0</v>
      </c>
      <c r="R97" s="356">
        <f t="shared" si="8"/>
        <v>0</v>
      </c>
      <c r="S97" s="356">
        <f t="shared" si="8"/>
        <v>0</v>
      </c>
      <c r="T97" s="356">
        <f t="shared" si="8"/>
        <v>0</v>
      </c>
      <c r="U97" s="356">
        <f t="shared" si="8"/>
        <v>0</v>
      </c>
      <c r="V97" s="356">
        <f t="shared" si="8"/>
        <v>0</v>
      </c>
      <c r="W97" s="359">
        <f>SUM(C97:V97)</f>
        <v>0</v>
      </c>
      <c r="X97" s="357"/>
      <c r="Y97" s="358" t="s">
        <v>587</v>
      </c>
    </row>
    <row r="98" spans="1:27" s="352" customFormat="1" ht="23.25">
      <c r="A98" s="360"/>
      <c r="B98" s="361" t="s">
        <v>588</v>
      </c>
      <c r="C98" s="362">
        <v>25000</v>
      </c>
      <c r="D98" s="362"/>
      <c r="E98" s="362"/>
      <c r="F98" s="362"/>
      <c r="G98" s="362"/>
      <c r="H98" s="363">
        <v>1822000</v>
      </c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59">
        <f>SUM(C98:V98)</f>
        <v>1847000</v>
      </c>
      <c r="X98" s="360"/>
      <c r="Y98" s="361" t="s">
        <v>588</v>
      </c>
      <c r="Z98" s="356">
        <v>1847000</v>
      </c>
      <c r="AA98" s="356">
        <f>W98-Z98</f>
        <v>0</v>
      </c>
    </row>
    <row r="99" spans="1:25" ht="23.25">
      <c r="A99" s="364" t="s">
        <v>639</v>
      </c>
      <c r="B99" s="376"/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X99" s="364" t="s">
        <v>639</v>
      </c>
      <c r="Y99" s="376"/>
    </row>
    <row r="100" spans="1:25" ht="23.25">
      <c r="A100" s="354"/>
      <c r="B100" s="376" t="s">
        <v>640</v>
      </c>
      <c r="C100" s="351">
        <f>35000+24000</f>
        <v>59000</v>
      </c>
      <c r="D100" s="351"/>
      <c r="E100" s="351"/>
      <c r="F100" s="351"/>
      <c r="G100" s="351"/>
      <c r="H100" s="351"/>
      <c r="I100" s="351">
        <f>7500</f>
        <v>7500</v>
      </c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X100" s="354"/>
      <c r="Y100" s="376" t="s">
        <v>641</v>
      </c>
    </row>
    <row r="101" spans="1:25" ht="23.25">
      <c r="A101" s="354"/>
      <c r="B101" s="376" t="s">
        <v>642</v>
      </c>
      <c r="C101" s="351">
        <v>0</v>
      </c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X101" s="354"/>
      <c r="Y101" s="376" t="s">
        <v>643</v>
      </c>
    </row>
    <row r="102" spans="1:25" ht="23.25">
      <c r="A102" s="354"/>
      <c r="B102" s="376" t="s">
        <v>644</v>
      </c>
      <c r="C102" s="351">
        <v>42020</v>
      </c>
      <c r="D102" s="351"/>
      <c r="E102" s="351"/>
      <c r="F102" s="351"/>
      <c r="G102" s="351"/>
      <c r="H102" s="351"/>
      <c r="I102" s="351">
        <v>33060</v>
      </c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X102" s="354"/>
      <c r="Y102" s="376"/>
    </row>
    <row r="103" spans="1:25" ht="23.25">
      <c r="A103" s="354"/>
      <c r="B103" s="376" t="s">
        <v>645</v>
      </c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X103" s="354"/>
      <c r="Y103" s="376"/>
    </row>
    <row r="104" spans="1:25" ht="23.25">
      <c r="A104" s="354"/>
      <c r="B104" s="376" t="s">
        <v>646</v>
      </c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9"/>
      <c r="X104" s="354"/>
      <c r="Y104" s="376"/>
    </row>
    <row r="105" spans="1:25" s="352" customFormat="1" ht="23.25">
      <c r="A105" s="357"/>
      <c r="B105" s="358" t="s">
        <v>587</v>
      </c>
      <c r="C105" s="356">
        <f>C100+C101+C102+C103+C104</f>
        <v>101020</v>
      </c>
      <c r="D105" s="356">
        <f aca="true" t="shared" si="9" ref="D105:V105">D100+D101+D102+D103+D104</f>
        <v>0</v>
      </c>
      <c r="E105" s="356">
        <f t="shared" si="9"/>
        <v>0</v>
      </c>
      <c r="F105" s="356">
        <f t="shared" si="9"/>
        <v>0</v>
      </c>
      <c r="G105" s="356">
        <f t="shared" si="9"/>
        <v>0</v>
      </c>
      <c r="H105" s="356">
        <f t="shared" si="9"/>
        <v>0</v>
      </c>
      <c r="I105" s="356">
        <f t="shared" si="9"/>
        <v>40560</v>
      </c>
      <c r="J105" s="356">
        <f t="shared" si="9"/>
        <v>0</v>
      </c>
      <c r="K105" s="356">
        <f t="shared" si="9"/>
        <v>0</v>
      </c>
      <c r="L105" s="356">
        <f t="shared" si="9"/>
        <v>0</v>
      </c>
      <c r="M105" s="356">
        <f t="shared" si="9"/>
        <v>0</v>
      </c>
      <c r="N105" s="356">
        <f t="shared" si="9"/>
        <v>0</v>
      </c>
      <c r="O105" s="356">
        <f t="shared" si="9"/>
        <v>0</v>
      </c>
      <c r="P105" s="356">
        <f t="shared" si="9"/>
        <v>0</v>
      </c>
      <c r="Q105" s="356">
        <f t="shared" si="9"/>
        <v>0</v>
      </c>
      <c r="R105" s="356">
        <f t="shared" si="9"/>
        <v>0</v>
      </c>
      <c r="S105" s="356">
        <f t="shared" si="9"/>
        <v>0</v>
      </c>
      <c r="T105" s="356">
        <f t="shared" si="9"/>
        <v>0</v>
      </c>
      <c r="U105" s="356">
        <f t="shared" si="9"/>
        <v>0</v>
      </c>
      <c r="V105" s="356">
        <f t="shared" si="9"/>
        <v>0</v>
      </c>
      <c r="W105" s="359">
        <f>SUM(C105:V105)</f>
        <v>141580</v>
      </c>
      <c r="X105" s="357"/>
      <c r="Y105" s="358" t="s">
        <v>587</v>
      </c>
    </row>
    <row r="106" spans="1:27" s="352" customFormat="1" ht="23.25">
      <c r="A106" s="360"/>
      <c r="B106" s="361" t="s">
        <v>588</v>
      </c>
      <c r="C106" s="362">
        <v>101020</v>
      </c>
      <c r="D106" s="362"/>
      <c r="E106" s="362"/>
      <c r="F106" s="362"/>
      <c r="G106" s="362"/>
      <c r="H106" s="362"/>
      <c r="I106" s="362">
        <v>40560</v>
      </c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59">
        <f>SUM(C106:V106)</f>
        <v>141580</v>
      </c>
      <c r="X106" s="360"/>
      <c r="Y106" s="361" t="s">
        <v>588</v>
      </c>
      <c r="Z106" s="356">
        <v>141580</v>
      </c>
      <c r="AA106" s="356">
        <f>W106-Z106</f>
        <v>0</v>
      </c>
    </row>
    <row r="107" spans="1:25" ht="23.25">
      <c r="A107" s="364" t="s">
        <v>647</v>
      </c>
      <c r="B107" s="382"/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X107" s="364" t="s">
        <v>647</v>
      </c>
      <c r="Y107" s="382"/>
    </row>
    <row r="108" spans="1:25" ht="23.25">
      <c r="A108" s="364"/>
      <c r="B108" s="382"/>
      <c r="C108" s="351">
        <v>0</v>
      </c>
      <c r="D108" s="351"/>
      <c r="E108" s="351"/>
      <c r="F108" s="351"/>
      <c r="G108" s="351"/>
      <c r="H108" s="351"/>
      <c r="I108" s="351"/>
      <c r="J108" s="351"/>
      <c r="K108" s="351"/>
      <c r="L108" s="351"/>
      <c r="M108" s="351">
        <f>53000+24000+42000+71000+55000+30000+55000+59000+96000+130000+33000+75000+80000</f>
        <v>803000</v>
      </c>
      <c r="N108" s="351"/>
      <c r="O108" s="351"/>
      <c r="P108" s="351"/>
      <c r="Q108" s="351"/>
      <c r="R108" s="351"/>
      <c r="S108" s="351"/>
      <c r="T108" s="351"/>
      <c r="U108" s="351"/>
      <c r="V108" s="351"/>
      <c r="X108" s="364"/>
      <c r="Y108" s="382"/>
    </row>
    <row r="109" spans="1:25" ht="23.25">
      <c r="A109" s="364"/>
      <c r="B109" s="382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X109" s="364"/>
      <c r="Y109" s="382"/>
    </row>
    <row r="110" spans="1:25" ht="23.25">
      <c r="A110" s="354"/>
      <c r="B110" s="382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X110" s="354"/>
      <c r="Y110" s="382"/>
    </row>
    <row r="111" spans="1:25" ht="23.25">
      <c r="A111" s="354"/>
      <c r="B111" s="382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X111" s="354"/>
      <c r="Y111" s="382"/>
    </row>
    <row r="112" spans="1:25" ht="23.25">
      <c r="A112" s="354"/>
      <c r="B112" s="382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X112" s="354"/>
      <c r="Y112" s="382"/>
    </row>
    <row r="113" spans="1:25" s="352" customFormat="1" ht="23.25">
      <c r="A113" s="357"/>
      <c r="B113" s="358" t="s">
        <v>587</v>
      </c>
      <c r="C113" s="356">
        <f>+C108+C109+C110+C111+C112</f>
        <v>0</v>
      </c>
      <c r="D113" s="356">
        <f aca="true" t="shared" si="10" ref="D113:V113">SUM(D110:D112)</f>
        <v>0</v>
      </c>
      <c r="E113" s="356">
        <f t="shared" si="10"/>
        <v>0</v>
      </c>
      <c r="F113" s="356">
        <f t="shared" si="10"/>
        <v>0</v>
      </c>
      <c r="G113" s="356">
        <f t="shared" si="10"/>
        <v>0</v>
      </c>
      <c r="H113" s="356">
        <f t="shared" si="10"/>
        <v>0</v>
      </c>
      <c r="I113" s="356">
        <f t="shared" si="10"/>
        <v>0</v>
      </c>
      <c r="J113" s="356">
        <f t="shared" si="10"/>
        <v>0</v>
      </c>
      <c r="K113" s="356">
        <f t="shared" si="10"/>
        <v>0</v>
      </c>
      <c r="L113" s="356">
        <f t="shared" si="10"/>
        <v>0</v>
      </c>
      <c r="M113" s="356">
        <f>SUM(M108:M112)</f>
        <v>803000</v>
      </c>
      <c r="N113" s="356">
        <f t="shared" si="10"/>
        <v>0</v>
      </c>
      <c r="O113" s="356">
        <f t="shared" si="10"/>
        <v>0</v>
      </c>
      <c r="P113" s="356">
        <f t="shared" si="10"/>
        <v>0</v>
      </c>
      <c r="Q113" s="356">
        <f t="shared" si="10"/>
        <v>0</v>
      </c>
      <c r="R113" s="356">
        <f t="shared" si="10"/>
        <v>0</v>
      </c>
      <c r="S113" s="356">
        <f t="shared" si="10"/>
        <v>0</v>
      </c>
      <c r="T113" s="356">
        <f t="shared" si="10"/>
        <v>0</v>
      </c>
      <c r="U113" s="356">
        <f t="shared" si="10"/>
        <v>0</v>
      </c>
      <c r="V113" s="356">
        <f t="shared" si="10"/>
        <v>0</v>
      </c>
      <c r="W113" s="359">
        <f>SUM(C113:V113)</f>
        <v>803000</v>
      </c>
      <c r="X113" s="357"/>
      <c r="Y113" s="358" t="s">
        <v>587</v>
      </c>
    </row>
    <row r="114" spans="1:27" s="352" customFormat="1" ht="23.25">
      <c r="A114" s="360"/>
      <c r="B114" s="361" t="s">
        <v>588</v>
      </c>
      <c r="C114" s="362">
        <v>40000</v>
      </c>
      <c r="D114" s="362"/>
      <c r="E114" s="362"/>
      <c r="F114" s="362"/>
      <c r="G114" s="362"/>
      <c r="H114" s="362"/>
      <c r="I114" s="362"/>
      <c r="J114" s="362"/>
      <c r="K114" s="362"/>
      <c r="L114" s="362"/>
      <c r="M114" s="362">
        <f>505000+803000</f>
        <v>1308000</v>
      </c>
      <c r="N114" s="362"/>
      <c r="O114" s="362"/>
      <c r="P114" s="362"/>
      <c r="Q114" s="362"/>
      <c r="R114" s="362"/>
      <c r="S114" s="362"/>
      <c r="T114" s="362"/>
      <c r="U114" s="362"/>
      <c r="V114" s="362"/>
      <c r="W114" s="359">
        <f>SUM(C114:V114)</f>
        <v>1348000</v>
      </c>
      <c r="X114" s="360"/>
      <c r="Y114" s="361" t="s">
        <v>588</v>
      </c>
      <c r="Z114" s="356">
        <v>1348000</v>
      </c>
      <c r="AA114" s="356">
        <f>W114-Z114</f>
        <v>0</v>
      </c>
    </row>
    <row r="115" spans="1:25" s="387" customFormat="1" ht="23.25">
      <c r="A115" s="383"/>
      <c r="B115" s="384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  <c r="R115" s="385"/>
      <c r="S115" s="385"/>
      <c r="T115" s="385"/>
      <c r="U115" s="385"/>
      <c r="V115" s="385"/>
      <c r="W115" s="386"/>
      <c r="X115" s="383"/>
      <c r="Y115" s="384"/>
    </row>
    <row r="116" spans="1:25" s="387" customFormat="1" ht="23.25">
      <c r="A116" s="383"/>
      <c r="B116" s="384"/>
      <c r="C116" s="385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  <c r="R116" s="385"/>
      <c r="S116" s="385"/>
      <c r="T116" s="385"/>
      <c r="U116" s="385"/>
      <c r="V116" s="385"/>
      <c r="W116" s="386"/>
      <c r="X116" s="383"/>
      <c r="Y116" s="384"/>
    </row>
    <row r="117" spans="1:25" ht="23.25">
      <c r="A117" s="368"/>
      <c r="B117" s="369"/>
      <c r="C117" s="353"/>
      <c r="X117" s="368"/>
      <c r="Y117" s="369"/>
    </row>
    <row r="118" spans="1:25" s="321" customFormat="1" ht="23.25">
      <c r="A118" s="817" t="s">
        <v>536</v>
      </c>
      <c r="B118" s="818"/>
      <c r="C118" s="819" t="s">
        <v>537</v>
      </c>
      <c r="D118" s="820"/>
      <c r="E118" s="821" t="s">
        <v>538</v>
      </c>
      <c r="F118" s="822"/>
      <c r="G118" s="819" t="s">
        <v>539</v>
      </c>
      <c r="H118" s="820"/>
      <c r="I118" s="323" t="s">
        <v>540</v>
      </c>
      <c r="J118" s="819" t="s">
        <v>541</v>
      </c>
      <c r="K118" s="820"/>
      <c r="L118" s="823" t="s">
        <v>542</v>
      </c>
      <c r="M118" s="824"/>
      <c r="N118" s="824"/>
      <c r="O118" s="825"/>
      <c r="P118" s="324" t="s">
        <v>28</v>
      </c>
      <c r="Q118" s="826" t="s">
        <v>543</v>
      </c>
      <c r="R118" s="827"/>
      <c r="S118" s="828" t="s">
        <v>544</v>
      </c>
      <c r="T118" s="829"/>
      <c r="U118" s="325" t="s">
        <v>545</v>
      </c>
      <c r="V118" s="326" t="s">
        <v>546</v>
      </c>
      <c r="W118" s="322"/>
      <c r="X118" s="830" t="s">
        <v>547</v>
      </c>
      <c r="Y118" s="831"/>
    </row>
    <row r="119" spans="1:25" s="321" customFormat="1" ht="23.25">
      <c r="A119" s="327"/>
      <c r="B119" s="328"/>
      <c r="C119" s="329" t="s">
        <v>548</v>
      </c>
      <c r="D119" s="330" t="s">
        <v>549</v>
      </c>
      <c r="E119" s="331" t="s">
        <v>550</v>
      </c>
      <c r="F119" s="332" t="s">
        <v>551</v>
      </c>
      <c r="G119" s="329" t="s">
        <v>548</v>
      </c>
      <c r="H119" s="329" t="s">
        <v>552</v>
      </c>
      <c r="I119" s="331" t="s">
        <v>537</v>
      </c>
      <c r="J119" s="331" t="s">
        <v>537</v>
      </c>
      <c r="K119" s="331" t="s">
        <v>553</v>
      </c>
      <c r="L119" s="331" t="s">
        <v>537</v>
      </c>
      <c r="M119" s="333" t="s">
        <v>554</v>
      </c>
      <c r="N119" s="332" t="s">
        <v>555</v>
      </c>
      <c r="O119" s="329" t="s">
        <v>556</v>
      </c>
      <c r="P119" s="332" t="s">
        <v>557</v>
      </c>
      <c r="Q119" s="329" t="s">
        <v>558</v>
      </c>
      <c r="R119" s="329" t="s">
        <v>559</v>
      </c>
      <c r="S119" s="329" t="s">
        <v>560</v>
      </c>
      <c r="T119" s="334" t="s">
        <v>561</v>
      </c>
      <c r="U119" s="334" t="s">
        <v>562</v>
      </c>
      <c r="V119" s="335" t="s">
        <v>546</v>
      </c>
      <c r="W119" s="322"/>
      <c r="X119" s="327"/>
      <c r="Y119" s="328"/>
    </row>
    <row r="120" spans="1:25" s="321" customFormat="1" ht="21.75" customHeight="1">
      <c r="A120" s="336"/>
      <c r="B120" s="337"/>
      <c r="C120" s="338" t="s">
        <v>537</v>
      </c>
      <c r="D120" s="339" t="s">
        <v>563</v>
      </c>
      <c r="E120" s="340" t="s">
        <v>564</v>
      </c>
      <c r="F120" s="339" t="s">
        <v>565</v>
      </c>
      <c r="G120" s="341" t="s">
        <v>566</v>
      </c>
      <c r="H120" s="340" t="s">
        <v>567</v>
      </c>
      <c r="I120" s="342" t="s">
        <v>568</v>
      </c>
      <c r="J120" s="342" t="s">
        <v>541</v>
      </c>
      <c r="K120" s="339" t="s">
        <v>569</v>
      </c>
      <c r="L120" s="342" t="s">
        <v>570</v>
      </c>
      <c r="M120" s="343" t="s">
        <v>571</v>
      </c>
      <c r="N120" s="340" t="s">
        <v>572</v>
      </c>
      <c r="O120" s="341" t="s">
        <v>573</v>
      </c>
      <c r="P120" s="340" t="s">
        <v>574</v>
      </c>
      <c r="Q120" s="341" t="s">
        <v>575</v>
      </c>
      <c r="R120" s="341" t="s">
        <v>576</v>
      </c>
      <c r="S120" s="341" t="s">
        <v>544</v>
      </c>
      <c r="T120" s="344" t="s">
        <v>577</v>
      </c>
      <c r="U120" s="345" t="s">
        <v>578</v>
      </c>
      <c r="V120" s="346"/>
      <c r="W120" s="322"/>
      <c r="X120" s="336"/>
      <c r="Y120" s="337"/>
    </row>
    <row r="121" spans="1:25" s="321" customFormat="1" ht="21.75" customHeight="1">
      <c r="A121" s="813" t="s">
        <v>579</v>
      </c>
      <c r="B121" s="814"/>
      <c r="C121" s="347" t="s">
        <v>4</v>
      </c>
      <c r="D121" s="347" t="s">
        <v>5</v>
      </c>
      <c r="E121" s="347" t="s">
        <v>10</v>
      </c>
      <c r="F121" s="347" t="s">
        <v>11</v>
      </c>
      <c r="G121" s="347" t="s">
        <v>12</v>
      </c>
      <c r="H121" s="347" t="s">
        <v>13</v>
      </c>
      <c r="I121" s="347" t="s">
        <v>14</v>
      </c>
      <c r="J121" s="347" t="s">
        <v>15</v>
      </c>
      <c r="K121" s="347" t="s">
        <v>16</v>
      </c>
      <c r="L121" s="347" t="s">
        <v>17</v>
      </c>
      <c r="M121" s="348" t="s">
        <v>18</v>
      </c>
      <c r="N121" s="348" t="s">
        <v>19</v>
      </c>
      <c r="O121" s="348" t="s">
        <v>20</v>
      </c>
      <c r="P121" s="348" t="s">
        <v>21</v>
      </c>
      <c r="Q121" s="348" t="s">
        <v>22</v>
      </c>
      <c r="R121" s="348" t="s">
        <v>23</v>
      </c>
      <c r="S121" s="348" t="s">
        <v>24</v>
      </c>
      <c r="T121" s="348" t="s">
        <v>580</v>
      </c>
      <c r="U121" s="348" t="s">
        <v>581</v>
      </c>
      <c r="V121" s="347" t="s">
        <v>25</v>
      </c>
      <c r="W121" s="322"/>
      <c r="X121" s="815" t="s">
        <v>579</v>
      </c>
      <c r="Y121" s="816"/>
    </row>
    <row r="122" spans="1:25" ht="23.25">
      <c r="A122" s="364" t="s">
        <v>648</v>
      </c>
      <c r="B122" s="370"/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X122" s="364" t="s">
        <v>648</v>
      </c>
      <c r="Y122" s="370"/>
    </row>
    <row r="123" spans="1:25" ht="23.25">
      <c r="A123" s="364"/>
      <c r="B123" s="370"/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X123" s="364"/>
      <c r="Y123" s="370"/>
    </row>
    <row r="124" spans="1:25" ht="23.25">
      <c r="A124" s="364"/>
      <c r="B124" s="370"/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X124" s="364"/>
      <c r="Y124" s="370"/>
    </row>
    <row r="125" spans="1:25" ht="23.25">
      <c r="A125" s="354"/>
      <c r="B125" s="370"/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X125" s="354"/>
      <c r="Y125" s="370"/>
    </row>
    <row r="126" spans="1:25" ht="23.25">
      <c r="A126" s="354"/>
      <c r="B126" s="370"/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X126" s="354"/>
      <c r="Y126" s="370"/>
    </row>
    <row r="127" spans="1:25" s="352" customFormat="1" ht="23.25">
      <c r="A127" s="357"/>
      <c r="B127" s="358" t="s">
        <v>587</v>
      </c>
      <c r="C127" s="356"/>
      <c r="D127" s="356"/>
      <c r="E127" s="356"/>
      <c r="F127" s="356"/>
      <c r="G127" s="356"/>
      <c r="H127" s="356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  <c r="S127" s="356"/>
      <c r="T127" s="356"/>
      <c r="U127" s="356"/>
      <c r="V127" s="356"/>
      <c r="W127" s="359">
        <f>SUM(C127:V127)</f>
        <v>0</v>
      </c>
      <c r="X127" s="357"/>
      <c r="Y127" s="358" t="s">
        <v>587</v>
      </c>
    </row>
    <row r="128" spans="1:25" s="352" customFormat="1" ht="23.25">
      <c r="A128" s="360"/>
      <c r="B128" s="361" t="s">
        <v>588</v>
      </c>
      <c r="C128" s="362"/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59">
        <f>SUM(C128:V128)</f>
        <v>0</v>
      </c>
      <c r="X128" s="360"/>
      <c r="Y128" s="361" t="s">
        <v>588</v>
      </c>
    </row>
    <row r="129" spans="1:25" ht="23.25">
      <c r="A129" s="388" t="s">
        <v>649</v>
      </c>
      <c r="B129" s="389"/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X129" s="388" t="s">
        <v>649</v>
      </c>
      <c r="Y129" s="389"/>
    </row>
    <row r="130" spans="1:25" ht="23.25">
      <c r="A130" s="390"/>
      <c r="B130" s="389" t="s">
        <v>650</v>
      </c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>
        <v>12273</v>
      </c>
      <c r="X130" s="390"/>
      <c r="Y130" s="389" t="s">
        <v>650</v>
      </c>
    </row>
    <row r="131" spans="1:25" ht="23.25">
      <c r="A131" s="390"/>
      <c r="B131" s="391" t="s">
        <v>651</v>
      </c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>
        <f>5500+4000</f>
        <v>9500</v>
      </c>
      <c r="X131" s="390"/>
      <c r="Y131" s="391" t="s">
        <v>651</v>
      </c>
    </row>
    <row r="132" spans="1:25" ht="23.25">
      <c r="A132" s="390"/>
      <c r="B132" s="391" t="s">
        <v>652</v>
      </c>
      <c r="C132" s="368">
        <v>0</v>
      </c>
      <c r="D132" s="351">
        <v>0</v>
      </c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>
        <v>236397</v>
      </c>
      <c r="X132" s="390"/>
      <c r="Y132" s="391" t="s">
        <v>652</v>
      </c>
    </row>
    <row r="133" spans="1:25" ht="23.25">
      <c r="A133" s="390"/>
      <c r="B133" s="392" t="s">
        <v>653</v>
      </c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X133" s="390"/>
      <c r="Y133" s="392" t="s">
        <v>653</v>
      </c>
    </row>
    <row r="134" spans="1:25" ht="23.25">
      <c r="A134" s="388"/>
      <c r="B134" s="391" t="s">
        <v>654</v>
      </c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X134" s="388"/>
      <c r="Y134" s="391" t="s">
        <v>654</v>
      </c>
    </row>
    <row r="135" spans="1:25" ht="23.25">
      <c r="A135" s="388"/>
      <c r="B135" s="391" t="s">
        <v>655</v>
      </c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X135" s="388"/>
      <c r="Y135" s="391" t="s">
        <v>655</v>
      </c>
    </row>
    <row r="136" spans="1:25" ht="23.25">
      <c r="A136" s="388"/>
      <c r="B136" s="393" t="s">
        <v>656</v>
      </c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X136" s="388"/>
      <c r="Y136" s="393" t="s">
        <v>656</v>
      </c>
    </row>
    <row r="137" spans="1:25" ht="23.25">
      <c r="A137" s="388"/>
      <c r="B137" s="393" t="s">
        <v>657</v>
      </c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X137" s="388"/>
      <c r="Y137" s="393" t="s">
        <v>657</v>
      </c>
    </row>
    <row r="138" spans="1:25" ht="23.25">
      <c r="A138" s="388"/>
      <c r="B138" s="391" t="s">
        <v>658</v>
      </c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X138" s="388"/>
      <c r="Y138" s="391" t="s">
        <v>658</v>
      </c>
    </row>
    <row r="139" spans="1:25" ht="23.25">
      <c r="A139" s="388"/>
      <c r="B139" s="391" t="s">
        <v>659</v>
      </c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X139" s="388"/>
      <c r="Y139" s="391" t="s">
        <v>659</v>
      </c>
    </row>
    <row r="140" spans="1:25" s="352" customFormat="1" ht="23.25">
      <c r="A140" s="357"/>
      <c r="B140" s="358" t="s">
        <v>587</v>
      </c>
      <c r="C140" s="356">
        <f aca="true" t="shared" si="11" ref="C140:U140">C130+C131+C132+C133+C134+C135+C136+C137+C138+C139</f>
        <v>0</v>
      </c>
      <c r="D140" s="356">
        <f t="shared" si="11"/>
        <v>0</v>
      </c>
      <c r="E140" s="356">
        <f t="shared" si="11"/>
        <v>0</v>
      </c>
      <c r="F140" s="356">
        <f t="shared" si="11"/>
        <v>0</v>
      </c>
      <c r="G140" s="356">
        <f t="shared" si="11"/>
        <v>0</v>
      </c>
      <c r="H140" s="356">
        <f t="shared" si="11"/>
        <v>0</v>
      </c>
      <c r="I140" s="356">
        <f t="shared" si="11"/>
        <v>0</v>
      </c>
      <c r="J140" s="356">
        <f t="shared" si="11"/>
        <v>0</v>
      </c>
      <c r="K140" s="356">
        <f t="shared" si="11"/>
        <v>0</v>
      </c>
      <c r="L140" s="356">
        <f t="shared" si="11"/>
        <v>0</v>
      </c>
      <c r="M140" s="356">
        <f t="shared" si="11"/>
        <v>0</v>
      </c>
      <c r="N140" s="356">
        <f t="shared" si="11"/>
        <v>0</v>
      </c>
      <c r="O140" s="356">
        <f t="shared" si="11"/>
        <v>0</v>
      </c>
      <c r="P140" s="356">
        <f t="shared" si="11"/>
        <v>0</v>
      </c>
      <c r="Q140" s="356">
        <f t="shared" si="11"/>
        <v>0</v>
      </c>
      <c r="R140" s="356">
        <f t="shared" si="11"/>
        <v>0</v>
      </c>
      <c r="S140" s="356">
        <f t="shared" si="11"/>
        <v>0</v>
      </c>
      <c r="T140" s="356">
        <f t="shared" si="11"/>
        <v>0</v>
      </c>
      <c r="U140" s="356">
        <f t="shared" si="11"/>
        <v>0</v>
      </c>
      <c r="V140" s="356">
        <f>V130+V131+V132+V133+V134+V135+V136+V137+V138+V139</f>
        <v>258170</v>
      </c>
      <c r="W140" s="359">
        <f>SUM(C140:V140)</f>
        <v>258170</v>
      </c>
      <c r="X140" s="357"/>
      <c r="Y140" s="358" t="s">
        <v>587</v>
      </c>
    </row>
    <row r="141" spans="1:27" s="352" customFormat="1" ht="23.25">
      <c r="A141" s="360"/>
      <c r="B141" s="361" t="s">
        <v>588</v>
      </c>
      <c r="C141" s="362">
        <v>0</v>
      </c>
      <c r="D141" s="362"/>
      <c r="E141" s="362"/>
      <c r="F141" s="362"/>
      <c r="G141" s="362"/>
      <c r="H141" s="362"/>
      <c r="I141" s="362"/>
      <c r="J141" s="362"/>
      <c r="K141" s="362"/>
      <c r="L141" s="362"/>
      <c r="M141" s="362"/>
      <c r="N141" s="362"/>
      <c r="O141" s="362"/>
      <c r="P141" s="362"/>
      <c r="Q141" s="362"/>
      <c r="R141" s="362"/>
      <c r="S141" s="362"/>
      <c r="T141" s="362"/>
      <c r="U141" s="362"/>
      <c r="V141" s="394">
        <f>492516+128144+20573+481133+258170</f>
        <v>1380536</v>
      </c>
      <c r="W141" s="359">
        <f>SUM(C141:V141)</f>
        <v>1380536</v>
      </c>
      <c r="X141" s="360"/>
      <c r="Y141" s="361" t="s">
        <v>588</v>
      </c>
      <c r="Z141" s="356">
        <v>1380536</v>
      </c>
      <c r="AA141" s="356">
        <f>W141-Z141</f>
        <v>0</v>
      </c>
    </row>
    <row r="142" spans="1:25" ht="23.25">
      <c r="A142" s="364"/>
      <c r="B142" s="376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X142" s="364"/>
      <c r="Y142" s="376"/>
    </row>
    <row r="143" spans="1:26" ht="23.25">
      <c r="A143" s="354"/>
      <c r="B143" s="376"/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X143" s="354"/>
      <c r="Y143" s="376"/>
      <c r="Z143" s="352"/>
    </row>
    <row r="144" spans="1:27" s="352" customFormat="1" ht="23.25">
      <c r="A144" s="395"/>
      <c r="B144" s="396" t="s">
        <v>660</v>
      </c>
      <c r="C144" s="397">
        <f>C14+C19+C24+C47+C56+C75+C90+C97+C105+C113+C127+C140</f>
        <v>561743.96</v>
      </c>
      <c r="D144" s="397">
        <f aca="true" t="shared" si="12" ref="D144:W145">D14+D19+D24+D47+D56+D75+D90+D97+D105+D113+D127+D140</f>
        <v>124230</v>
      </c>
      <c r="E144" s="397">
        <f t="shared" si="12"/>
        <v>26570</v>
      </c>
      <c r="F144" s="397">
        <f t="shared" si="12"/>
        <v>43600</v>
      </c>
      <c r="G144" s="397">
        <f t="shared" si="12"/>
        <v>76072</v>
      </c>
      <c r="H144" s="397">
        <f t="shared" si="12"/>
        <v>504961.55</v>
      </c>
      <c r="I144" s="397">
        <f t="shared" si="12"/>
        <v>231420</v>
      </c>
      <c r="J144" s="397">
        <f t="shared" si="12"/>
        <v>37750</v>
      </c>
      <c r="K144" s="397">
        <f t="shared" si="12"/>
        <v>0</v>
      </c>
      <c r="L144" s="397">
        <f t="shared" si="12"/>
        <v>144520</v>
      </c>
      <c r="M144" s="398">
        <f t="shared" si="12"/>
        <v>803000</v>
      </c>
      <c r="N144" s="397">
        <f t="shared" si="12"/>
        <v>0</v>
      </c>
      <c r="O144" s="397">
        <f t="shared" si="12"/>
        <v>0</v>
      </c>
      <c r="P144" s="398">
        <f t="shared" si="12"/>
        <v>125490</v>
      </c>
      <c r="Q144" s="397">
        <f t="shared" si="12"/>
        <v>248200</v>
      </c>
      <c r="R144" s="397">
        <f t="shared" si="12"/>
        <v>-180</v>
      </c>
      <c r="S144" s="397">
        <f t="shared" si="12"/>
        <v>36240</v>
      </c>
      <c r="T144" s="397">
        <f t="shared" si="12"/>
        <v>0</v>
      </c>
      <c r="U144" s="398">
        <f t="shared" si="12"/>
        <v>0</v>
      </c>
      <c r="V144" s="398">
        <f t="shared" si="12"/>
        <v>258170</v>
      </c>
      <c r="W144" s="399">
        <f t="shared" si="12"/>
        <v>3221787.51</v>
      </c>
      <c r="X144" s="357"/>
      <c r="Y144" s="358" t="s">
        <v>660</v>
      </c>
      <c r="AA144" s="400"/>
    </row>
    <row r="145" spans="1:27" s="352" customFormat="1" ht="23.25">
      <c r="A145" s="401"/>
      <c r="B145" s="402" t="s">
        <v>661</v>
      </c>
      <c r="C145" s="403">
        <f>C15+C20+C25+C48+C57+C76+C91+C98+C106+C114+C128+C141</f>
        <v>3444490.6599999997</v>
      </c>
      <c r="D145" s="403">
        <f t="shared" si="12"/>
        <v>927692.78</v>
      </c>
      <c r="E145" s="403">
        <f t="shared" si="12"/>
        <v>297780</v>
      </c>
      <c r="F145" s="403">
        <f t="shared" si="12"/>
        <v>118845.84</v>
      </c>
      <c r="G145" s="403">
        <f t="shared" si="12"/>
        <v>587725.87</v>
      </c>
      <c r="H145" s="403">
        <f t="shared" si="12"/>
        <v>4022189.6100000003</v>
      </c>
      <c r="I145" s="403">
        <f t="shared" si="12"/>
        <v>990284.84</v>
      </c>
      <c r="J145" s="403">
        <f t="shared" si="12"/>
        <v>287195</v>
      </c>
      <c r="K145" s="403">
        <f t="shared" si="12"/>
        <v>47310</v>
      </c>
      <c r="L145" s="403">
        <f t="shared" si="12"/>
        <v>671777.6799999999</v>
      </c>
      <c r="M145" s="403">
        <f t="shared" si="12"/>
        <v>1308000</v>
      </c>
      <c r="N145" s="403">
        <f t="shared" si="12"/>
        <v>0</v>
      </c>
      <c r="O145" s="403">
        <f t="shared" si="12"/>
        <v>0</v>
      </c>
      <c r="P145" s="403">
        <f t="shared" si="12"/>
        <v>150450</v>
      </c>
      <c r="Q145" s="403">
        <f t="shared" si="12"/>
        <v>574974</v>
      </c>
      <c r="R145" s="403">
        <f t="shared" si="12"/>
        <v>169780</v>
      </c>
      <c r="S145" s="403">
        <f t="shared" si="12"/>
        <v>183900</v>
      </c>
      <c r="T145" s="403">
        <f t="shared" si="12"/>
        <v>0</v>
      </c>
      <c r="U145" s="403">
        <f t="shared" si="12"/>
        <v>44940</v>
      </c>
      <c r="V145" s="403">
        <f t="shared" si="12"/>
        <v>1380536</v>
      </c>
      <c r="W145" s="404">
        <f t="shared" si="12"/>
        <v>15207872.280000001</v>
      </c>
      <c r="X145" s="401"/>
      <c r="Y145" s="402" t="s">
        <v>661</v>
      </c>
      <c r="AA145" s="400"/>
    </row>
    <row r="146" spans="3:27" ht="24" thickBot="1">
      <c r="C146" s="353"/>
      <c r="W146" s="405"/>
      <c r="Y146" s="406">
        <f>C144+D144+E144+F144+G144+H144+I144+J144+K144+L144+M144+N144+O144+P144+Q144+R144+S144+T144+U144+V144</f>
        <v>3221787.51</v>
      </c>
      <c r="Z146" s="407"/>
      <c r="AA146" s="408"/>
    </row>
    <row r="147" spans="2:25" ht="24" thickTop="1">
      <c r="B147" s="353" t="s">
        <v>662</v>
      </c>
      <c r="H147" s="353" t="s">
        <v>662</v>
      </c>
      <c r="P147" s="353" t="s">
        <v>662</v>
      </c>
      <c r="Y147" s="409">
        <f>C145+D145+E145+F145+G145+H145+I145+J145+K145+L145+M145+N145+O145+P145+Q145+R145+S145+T145+U145+V145</f>
        <v>15207872.28</v>
      </c>
    </row>
    <row r="148" spans="2:16" ht="23.25">
      <c r="B148" s="353" t="s">
        <v>663</v>
      </c>
      <c r="H148" s="353" t="s">
        <v>664</v>
      </c>
      <c r="P148" s="353" t="s">
        <v>665</v>
      </c>
    </row>
    <row r="149" spans="2:23" ht="23.25">
      <c r="B149" s="353" t="s">
        <v>666</v>
      </c>
      <c r="H149" s="353" t="s">
        <v>667</v>
      </c>
      <c r="P149" s="353" t="s">
        <v>668</v>
      </c>
      <c r="W149" s="352">
        <f>W145-Y147</f>
        <v>0</v>
      </c>
    </row>
  </sheetData>
  <sheetProtection/>
  <mergeCells count="47">
    <mergeCell ref="A1:W1"/>
    <mergeCell ref="A2:W2"/>
    <mergeCell ref="A3:W3"/>
    <mergeCell ref="A5:B5"/>
    <mergeCell ref="C5:D5"/>
    <mergeCell ref="E5:F5"/>
    <mergeCell ref="G5:H5"/>
    <mergeCell ref="J5:K5"/>
    <mergeCell ref="L5:O5"/>
    <mergeCell ref="Q5:R5"/>
    <mergeCell ref="S5:T5"/>
    <mergeCell ref="X5:Y5"/>
    <mergeCell ref="A8:B8"/>
    <mergeCell ref="X8:Y8"/>
    <mergeCell ref="A42:B42"/>
    <mergeCell ref="C42:D42"/>
    <mergeCell ref="E42:F42"/>
    <mergeCell ref="G42:H42"/>
    <mergeCell ref="J42:K42"/>
    <mergeCell ref="L42:O42"/>
    <mergeCell ref="X118:Y118"/>
    <mergeCell ref="Q42:R42"/>
    <mergeCell ref="S42:T42"/>
    <mergeCell ref="X42:Y42"/>
    <mergeCell ref="A45:B45"/>
    <mergeCell ref="X45:Y45"/>
    <mergeCell ref="A80:B80"/>
    <mergeCell ref="C80:D80"/>
    <mergeCell ref="E80:F80"/>
    <mergeCell ref="G80:H80"/>
    <mergeCell ref="L80:O80"/>
    <mergeCell ref="Q80:R80"/>
    <mergeCell ref="S80:T80"/>
    <mergeCell ref="X80:Y80"/>
    <mergeCell ref="A83:B83"/>
    <mergeCell ref="X83:Y83"/>
    <mergeCell ref="J80:K80"/>
    <mergeCell ref="A121:B121"/>
    <mergeCell ref="X121:Y121"/>
    <mergeCell ref="A118:B118"/>
    <mergeCell ref="C118:D118"/>
    <mergeCell ref="E118:F118"/>
    <mergeCell ref="G118:H118"/>
    <mergeCell ref="J118:K118"/>
    <mergeCell ref="L118:O118"/>
    <mergeCell ref="Q118:R118"/>
    <mergeCell ref="S118:T118"/>
  </mergeCells>
  <printOptions/>
  <pageMargins left="0.17" right="0.17" top="0.25" bottom="0.28" header="0.16" footer="0.2"/>
  <pageSetup horizontalDpi="200" verticalDpi="2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2015-10-14T02:20:29Z</cp:lastPrinted>
  <dcterms:created xsi:type="dcterms:W3CDTF">2014-10-14T08:20:36Z</dcterms:created>
  <dcterms:modified xsi:type="dcterms:W3CDTF">2015-10-16T02:02:21Z</dcterms:modified>
  <cp:category/>
  <cp:version/>
  <cp:contentType/>
  <cp:contentStatus/>
</cp:coreProperties>
</file>